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PCB\Active Boards\ADC36xxEVM Refresh\ADC3664EVM\Fab Data\"/>
    </mc:Choice>
  </mc:AlternateContent>
  <xr:revisionPtr revIDLastSave="0" documentId="13_ncr:1_{B2C0519F-F184-4F6C-957E-50E43D17D1C7}" xr6:coauthVersionLast="36" xr6:coauthVersionMax="36" xr10:uidLastSave="{00000000-0000-0000-0000-000000000000}"/>
  <bookViews>
    <workbookView xWindow="1670" yWindow="1230" windowWidth="23550" windowHeight="632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List'!$A$1:$L$20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<sst xmlns="http://schemas.openxmlformats.org/spreadsheetml/2006/main" count="641" uniqueCount="367">
  <si>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</si>
  <si>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</si>
  <si>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</si>
  <si>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</si>
  <si>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</si>
  <si>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</si>
  <si>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</si>
  <si>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</si>
  <si>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</si>
  <si>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</si>
  <si>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</si>
  <si>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</si>
  <si>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</si>
  <si>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</si>
  <si>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</si>
  <si>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</si>
  <si>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</si>
  <si>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</si>
  <si>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</si>
  <si>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</si>
  <si>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</si>
  <si>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</si>
  <si>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</si>
  <si>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</si>
  <si>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</si>
  <si>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</si>
  <si>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</si>
  <si>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</si>
  <si>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</si>
  <si>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</si>
  <si>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</si>
  <si>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</si>
  <si>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</si>
  <si>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</si>
  <si>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</si>
  <si>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</si>
  <si>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</si>
  <si>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</si>
  <si>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</si>
  <si>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</si>
  <si>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</si>
  <si>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</si>
  <si>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</si>
  <si>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</si>
  <si>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</si>
  <si>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</si>
  <si>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</si>
  <si>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</si>
  <si>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</si>
  <si>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</si>
  <si>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</si>
  <si>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</si>
  <si>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</si>
  <si>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</si>
  <si>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</si>
  <si>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</si>
  <si>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</si>
  <si>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</si>
  <si>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</si>
  <si>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</si>
  <si>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</si>
  <si>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</si>
  <si>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</si>
  <si>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</si>
  <si>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</si>
  <si>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</si>
  <si>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</si>
  <si>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</si>
  <si>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</si>
  <si>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</si>
  <si>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</si>
  <si>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</si>
  <si>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</si>
  <si>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</si>
  <si>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</si>
  <si>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</si>
  <si>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</si>
  <si>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</si>
  <si>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</si>
  <si>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</si>
  <si>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</si>
  <si>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</si>
  <si>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</si>
  <si>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</si>
  <si>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</si>
  <si>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</si>
  <si>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</si>
  <si>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</si>
  <si>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</si>
  <si>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</si>
  <si>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</si>
  <si>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</si>
  <si>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</si>
  <si>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</si>
  <si>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</si>
  <si>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</si>
  <si>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</si>
  <si>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</si>
  <si>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</si>
  <si>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</si>
  <si>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</si>
  <si>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</si>
  <si>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</si>
  <si>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</si>
  <si>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</si>
  <si>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</si>
  <si>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</si>
  <si>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</si>
  <si>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</si>
  <si>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</si>
  <si>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</si>
  <si>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</si>
  <si>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</si>
  <si>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</si>
  <si>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</si>
  <si>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</si>
  <si>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</si>
  <si>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</si>
  <si>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</si>
  <si>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</si>
  <si>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</si>
  <si>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</si>
  <si>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</si>
  <si>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</si>
  <si>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</si>
  <si>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</si>
  <si>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</si>
  <si>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</si>
  <si>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</si>
  <si>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</si>
  <si>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</si>
  <si>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</si>
  <si>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</si>
  <si>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</si>
  <si>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</si>
  <si>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</si>
  <si>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</si>
  <si>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</si>
  <si>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</si>
  <si>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</si>
  <si>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</si>
  <si>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</si>
  <si>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</si>
  <si>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</si>
  <si>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</si>
  <si>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</si>
  <si>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</si>
  <si>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</si>
  <si>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</si>
  <si>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</si>
  <si>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</si>
  <si>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</si>
  <si>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</si>
  <si>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</si>
  <si>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</si>
  <si>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</si>
  <si>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</si>
  <si>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</si>
  <si>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</si>
  <si>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</si>
  <si>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</si>
  <si>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</si>
  <si>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</si>
  <si>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</si>
  <si>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</si>
  <si>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</si>
  <si>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</si>
  <si>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</si>
  <si>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</si>
  <si>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</si>
  <si>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</si>
  <si>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</si>
  <si>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</si>
  <si>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</si>
  <si>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</si>
  <si>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</si>
  <si>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</si>
  <si>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</si>
  <si>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</si>
  <si>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</si>
  <si>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</si>
  <si>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</si>
  <si>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</si>
  <si>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</si>
  <si>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</si>
  <si>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</si>
  <si>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</si>
  <si>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</si>
  <si>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</si>
  <si>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</si>
  <si>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</si>
  <si>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</si>
  <si>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</si>
  <si>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</si>
  <si>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</si>
  <si>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</si>
  <si>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</si>
  <si>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</si>
  <si>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>SLVT174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</si>
  <si>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</si>
  <si>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</si>
  <si>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</si>
  <si>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</si>
  <si>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</si>
  <si>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</si>
  <si>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</si>
  <si>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</si>
  <si>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</si>
  <si>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</si>
  <si>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</si>
  <si>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</si>
  <si>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</si>
  <si>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</si>
  <si>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</si>
  <si>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</si>
  <si>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</si>
  <si>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</si>
  <si>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</si>
  <si>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</si>
  <si>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</si>
  <si>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</si>
  <si>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</si>
  <si>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</si>
  <si>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</si>
  <si>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</si>
  <si>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</si>
  <si>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</si>
  <si>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</si>
  <si>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</si>
  <si>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</si>
  <si>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</si>
  <si>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</si>
  <si>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</si>
  <si>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</si>
  <si>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</si>
  <si>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</si>
  <si>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</si>
  <si>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</si>
  <si>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</si>
  <si>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</si>
  <si>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</si>
  <si>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</si>
  <si>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</si>
  <si>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</si>
  <si>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</si>
  <si>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</si>
  <si>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</si>
  <si>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</si>
  <si>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</si>
  <si>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</si>
  <si>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</si>
  <si>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</si>
  <si>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</si>
  <si>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</si>
  <si>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</si>
  <si>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</si>
  <si>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</si>
  <si>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</si>
  <si>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</si>
  <si>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</si>
  <si>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</si>
  <si>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</si>
  <si>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</si>
  <si>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</si>
  <si>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</si>
  <si>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</si>
  <si>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</si>
  <si>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</si>
  <si>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</si>
  <si>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</si>
  <si>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</si>
  <si>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</si>
  <si>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</si>
  <si>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</si>
  <si>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</si>
  <si>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</si>
  <si>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</si>
  <si>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</si>
  <si>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</si>
  <si>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</si>
  <si>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</si>
  <si>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</si>
  <si>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</si>
  <si>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</si>
  <si>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</si>
  <si>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</si>
  <si>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</si>
  <si>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</si>
  <si>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</si>
  <si>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</si>
  <si>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</si>
  <si>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</si>
  <si>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</si>
  <si>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</si>
  <si>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</si>
  <si>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</si>
  <si>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</si>
  <si>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Total Weight (quantity*weight)</t>
  </si>
  <si>
    <t>Do not edit any cells in this tab.</t>
  </si>
  <si>
    <t>LIT3</t>
  </si>
  <si>
    <t>SSZZ034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</si>
  <si>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</si>
  <si>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</si>
  <si>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</si>
  <si>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</si>
  <si>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</si>
  <si>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</si>
  <si>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</si>
  <si>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</si>
  <si>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</si>
  <si>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</si>
  <si>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</si>
  <si>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</si>
  <si>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</si>
  <si>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</si>
  <si>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</si>
  <si>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</si>
  <si>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</si>
  <si>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</si>
  <si>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</si>
  <si>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</si>
  <si>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</si>
  <si>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</si>
  <si>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</si>
  <si>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</si>
  <si>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r>
      <t xml:space="preserve">Literature, High Voltage Read Me - </t>
    </r>
    <r>
      <rPr>
        <b/>
        <sz val="11"/>
        <color theme="1"/>
        <rFont val="Calibri"/>
        <family val="2"/>
        <scheme val="minor"/>
      </rPr>
      <t>(Goes in all High Voltage kits)</t>
    </r>
  </si>
  <si>
    <r>
      <t xml:space="preserve">Literature, Prototype EVM Disclaimer Read Me - </t>
    </r>
    <r>
      <rPr>
        <b/>
        <sz val="11"/>
        <color theme="1"/>
        <rFont val="Calibri"/>
        <family val="2"/>
        <scheme val="minor"/>
      </rPr>
      <t>(Goes in all prototype EVM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</si>
  <si>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</si>
  <si>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</si>
  <si>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</si>
  <si>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</si>
  <si>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</si>
  <si>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</si>
  <si>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</si>
  <si>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</si>
  <si>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</si>
  <si>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</si>
  <si>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</si>
  <si>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</si>
  <si>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</si>
  <si>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Young Optics</t>
  </si>
  <si>
    <t>DLP only</t>
  </si>
  <si>
    <t>H</t>
  </si>
  <si>
    <t>Template: H</t>
  </si>
  <si>
    <t>-- Updated YOI to "Young Optics" 
-- Added "DLP only" note for Young Optics box/foam</t>
  </si>
  <si>
    <t>CBL1</t>
  </si>
  <si>
    <t>1</t>
  </si>
  <si>
    <t>44</t>
  </si>
  <si>
    <t>CBL2</t>
  </si>
  <si>
    <t>10-01776</t>
  </si>
  <si>
    <t>Tensility International Corp.</t>
  </si>
  <si>
    <t>70</t>
  </si>
  <si>
    <t>226.8</t>
  </si>
  <si>
    <t>13</t>
  </si>
  <si>
    <t>9.375</t>
  </si>
  <si>
    <t>4</t>
  </si>
  <si>
    <t>16</t>
  </si>
  <si>
    <t>9.0625</t>
  </si>
  <si>
    <t>6.75</t>
  </si>
  <si>
    <t>DCXXX</t>
  </si>
  <si>
    <t>CBL USB2.0 A PLUG TO C PLG 3.28'</t>
  </si>
  <si>
    <t>CBL-UA-UC-10WP</t>
  </si>
  <si>
    <t>Same Sky</t>
  </si>
  <si>
    <t>Luke Allen</t>
  </si>
  <si>
    <t>ADC3663EVM</t>
  </si>
  <si>
    <t>DAC3663EVM; Circuit Board; XXXXXXX</t>
  </si>
  <si>
    <t>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</si>
</sst>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_(* #,##0.000_);_(* \(#,##0.000\);_(* &quot;-&quot;??_);_(@_)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5" fillId="0" borderId="0"/>
  </cellStyleXfs>
  <cellXfs count="205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35" borderId="14" xfId="0" applyFont="1" applyFill="1" applyBorder="1"/>
    <xf numFmtId="0" fontId="0" fillId="35" borderId="1" xfId="0" applyFont="1" applyFill="1" applyBorder="1" applyAlignment="1">
      <alignment horizontal="center"/>
    </xf>
    <xf numFmtId="0" fontId="0" fillId="35" borderId="1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" fillId="35" borderId="14" xfId="0" applyFont="1" applyFill="1" applyBorder="1"/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4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5" fillId="0" borderId="1" xfId="0" applyFont="1" applyFill="1" applyBorder="1" applyAlignment="1">
      <alignment vertical="center"/>
    </xf>
    <xf numFmtId="0" fontId="35" fillId="0" borderId="1" xfId="0" applyFont="1" applyFill="1" applyBorder="1" applyAlignment="1">
      <alignment wrapText="1"/>
    </xf>
    <xf numFmtId="0" fontId="34" fillId="35" borderId="0" xfId="1" quotePrefix="1" applyFont="1" applyFill="1" applyAlignment="1">
      <alignment horizontal="center" vertical="top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0" fillId="35" borderId="1" xfId="0" applyFont="1" applyFill="1" applyBorder="1" applyAlignment="1">
      <alignment wrapText="1"/>
    </xf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35" borderId="0" xfId="0" applyFont="1" applyFill="1"/>
    <xf numFmtId="0" fontId="3" fillId="35" borderId="0" xfId="0" applyFont="1" applyFill="1" applyBorder="1" applyAlignment="1">
      <alignment horizontal="left"/>
    </xf>
    <xf numFmtId="164" fontId="3" fillId="35" borderId="0" xfId="0" applyNumberFormat="1" applyFont="1" applyFill="1" applyAlignment="1">
      <alignment horizontal="center"/>
    </xf>
    <xf numFmtId="0" fontId="32" fillId="40" borderId="1" xfId="0" applyFont="1" applyFill="1" applyBorder="1" applyAlignment="1">
      <alignment wrapText="1"/>
    </xf>
    <xf numFmtId="0" fontId="36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35" borderId="14" xfId="44" applyNumberFormat="1" applyFont="1" applyFill="1" applyBorder="1"/>
    <xf numFmtId="166" fontId="0" fillId="35" borderId="1" xfId="44" applyNumberFormat="1" applyFont="1" applyFill="1" applyBorder="1"/>
    <xf numFmtId="166" fontId="0" fillId="38" borderId="1" xfId="44" applyNumberFormat="1" applyFont="1" applyFill="1" applyBorder="1"/>
    <xf numFmtId="166" fontId="0" fillId="0" borderId="1" xfId="44" applyNumberFormat="1" applyFont="1" applyFill="1" applyBorder="1"/>
    <xf numFmtId="166" fontId="0" fillId="38" borderId="20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0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39" fillId="37" borderId="25" xfId="46" quotePrefix="1" applyFont="1" applyFill="1" applyBorder="1" applyAlignment="1">
      <alignment horizontal="right" vertical="center" wrapText="1"/>
    </xf>
    <xf numFmtId="0" fontId="39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7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" fillId="0" borderId="32" xfId="0" applyFont="1" applyFill="1" applyBorder="1"/>
    <xf numFmtId="0" fontId="0" fillId="0" borderId="33" xfId="0" applyFont="1" applyFill="1" applyBorder="1"/>
    <xf numFmtId="0" fontId="3" fillId="0" borderId="34" xfId="0" applyFont="1" applyFill="1" applyBorder="1"/>
    <xf numFmtId="0" fontId="0" fillId="0" borderId="35" xfId="0" applyFont="1" applyFill="1" applyBorder="1"/>
    <xf numFmtId="0" fontId="35" fillId="0" borderId="35" xfId="0" applyFont="1" applyFill="1" applyBorder="1" applyAlignment="1">
      <alignment wrapText="1"/>
    </xf>
    <xf numFmtId="0" fontId="0" fillId="0" borderId="39" xfId="0" applyFont="1" applyFill="1" applyBorder="1"/>
    <xf numFmtId="0" fontId="3" fillId="35" borderId="34" xfId="0" applyFont="1" applyFill="1" applyBorder="1"/>
    <xf numFmtId="0" fontId="3" fillId="0" borderId="36" xfId="0" applyFont="1" applyFill="1" applyBorder="1"/>
    <xf numFmtId="0" fontId="0" fillId="0" borderId="37" xfId="0" applyFont="1" applyFill="1" applyBorder="1" applyAlignment="1">
      <alignment horizontal="center"/>
    </xf>
    <xf numFmtId="0" fontId="0" fillId="0" borderId="37" xfId="0" applyFont="1" applyFill="1" applyBorder="1"/>
    <xf numFmtId="0" fontId="0" fillId="0" borderId="38" xfId="0" applyFont="1" applyFill="1" applyBorder="1"/>
    <xf numFmtId="43" fontId="0" fillId="35" borderId="14" xfId="44" applyNumberFormat="1" applyFont="1" applyFill="1" applyBorder="1"/>
    <xf numFmtId="167" fontId="0" fillId="0" borderId="1" xfId="44" applyNumberFormat="1" applyFont="1" applyFill="1" applyBorder="1"/>
    <xf numFmtId="0" fontId="3" fillId="0" borderId="1" xfId="0" applyFont="1" applyFill="1" applyBorder="1"/>
    <xf numFmtId="0" fontId="0" fillId="0" borderId="1" xfId="0" applyBorder="1" applyAlignment="1">
      <alignment wrapText="1"/>
    </xf>
    <xf numFmtId="0" fontId="37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7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8" fillId="0" borderId="23" xfId="46" applyFont="1" applyFill="1" applyBorder="1" applyAlignment="1">
      <alignment horizontal="center" wrapText="1"/>
    </xf>
    <xf numFmtId="0" fontId="38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15" sqref="C15"/>
    </sheetView>
  </sheetViews>
  <sheetFormatPr defaultColWidth="8.6328125" defaultRowHeight="14.5" x14ac:dyDescent="0.35"/>
  <cols>
    <col min="1" max="1" width="2.6328125" style="129" customWidth="1"/>
    <col min="2" max="2" width="2.6328125" style="129" bestFit="1" customWidth="1"/>
    <col min="3" max="3" width="81.81640625" style="129" customWidth="1"/>
    <col min="4" max="4" width="4.1796875" style="129" customWidth="1"/>
    <col min="5" max="5" width="2.6328125" style="129" bestFit="1" customWidth="1"/>
    <col min="6" max="6" width="81.81640625" style="129" customWidth="1"/>
    <col min="7" max="7" width="4.1796875" style="129" customWidth="1"/>
    <col min="8" max="10" width="9.6328125" style="129" customWidth="1"/>
    <col min="11" max="16384" width="8.6328125" style="129"/>
  </cols>
  <sheetData>
    <row r="1" spans="2:10" ht="15" thickBot="1" x14ac:dyDescent="0.4"/>
    <row r="2" spans="2:10" ht="16" thickBot="1" x14ac:dyDescent="0.4">
      <c r="B2" s="202" t="s">
        <v>327</v>
      </c>
      <c r="C2" s="203"/>
      <c r="E2" s="202" t="s">
        <v>316</v>
      </c>
      <c r="F2" s="203"/>
      <c r="H2" s="193" t="s">
        <v>334</v>
      </c>
      <c r="I2" s="194"/>
      <c r="J2" s="195"/>
    </row>
    <row r="3" spans="2:10" ht="29" x14ac:dyDescent="0.35">
      <c r="B3" s="153" t="s">
        <v>317</v>
      </c>
      <c r="C3" s="155" t="s">
        <v>328</v>
      </c>
      <c r="D3" s="156"/>
      <c r="E3" s="153" t="s">
        <v>317</v>
      </c>
      <c r="F3" s="157" t="s">
        <v>318</v>
      </c>
      <c r="H3" s="196"/>
      <c r="I3" s="197"/>
      <c r="J3" s="198"/>
    </row>
    <row r="4" spans="2:10" x14ac:dyDescent="0.35">
      <c r="B4" s="153" t="s">
        <v>319</v>
      </c>
      <c r="C4" s="155" t="s">
        <v>329</v>
      </c>
      <c r="D4" s="156"/>
      <c r="E4" s="153" t="s">
        <v>319</v>
      </c>
      <c r="F4" s="157" t="s">
        <v>320</v>
      </c>
      <c r="H4" s="196"/>
      <c r="I4" s="197"/>
      <c r="J4" s="198"/>
    </row>
    <row r="5" spans="2:10" ht="29.5" thickBot="1" x14ac:dyDescent="0.4">
      <c r="B5" s="154" t="s">
        <v>321</v>
      </c>
      <c r="C5" s="159" t="s">
        <v>330</v>
      </c>
      <c r="D5" s="156"/>
      <c r="E5" s="154" t="s">
        <v>321</v>
      </c>
      <c r="F5" s="158" t="s">
        <v>335</v>
      </c>
      <c r="H5" s="199"/>
      <c r="I5" s="200"/>
      <c r="J5" s="201"/>
    </row>
    <row r="6" spans="2:10" x14ac:dyDescent="0.35">
      <c r="B6" s="151"/>
      <c r="C6" s="152"/>
      <c r="E6" s="151"/>
      <c r="F6" s="152"/>
    </row>
    <row r="7" spans="2:10" ht="60.65" customHeight="1" x14ac:dyDescent="0.35">
      <c r="B7" s="189" t="s">
        <v>332</v>
      </c>
      <c r="C7" s="190"/>
      <c r="E7" s="189" t="s">
        <v>333</v>
      </c>
      <c r="F7" s="190"/>
    </row>
    <row r="8" spans="2:10" x14ac:dyDescent="0.35">
      <c r="B8" s="151"/>
      <c r="C8" s="151"/>
      <c r="E8" s="151"/>
      <c r="F8" s="151"/>
    </row>
    <row r="9" spans="2:10" x14ac:dyDescent="0.35">
      <c r="B9" s="204" t="s">
        <v>322</v>
      </c>
      <c r="C9" s="191"/>
      <c r="E9" s="191" t="s">
        <v>322</v>
      </c>
      <c r="F9" s="191"/>
    </row>
    <row r="10" spans="2:10" x14ac:dyDescent="0.35">
      <c r="B10" s="188" t="s">
        <v>331</v>
      </c>
      <c r="C10" s="188"/>
      <c r="E10" s="192" t="s">
        <v>323</v>
      </c>
      <c r="F10" s="192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0"/>
  <sheetViews>
    <sheetView tabSelected="1" zoomScale="110" zoomScaleNormal="110" workbookViewId="0">
      <selection activeCell="C4" sqref="C4"/>
    </sheetView>
  </sheetViews>
  <sheetFormatPr defaultColWidth="9.1796875" defaultRowHeight="14.5" x14ac:dyDescent="0.35"/>
  <cols>
    <col min="1" max="1" width="11.453125" style="27" bestFit="1" customWidth="1"/>
    <col min="2" max="2" width="12.453125" style="27" bestFit="1" customWidth="1"/>
    <col min="3" max="3" width="70.1796875" style="27" customWidth="1"/>
    <col min="4" max="5" width="16.1796875" style="27" bestFit="1" customWidth="1"/>
    <col min="6" max="9" width="7.26953125" style="27" customWidth="1"/>
    <col min="10" max="10" width="15.54296875" style="27" bestFit="1" customWidth="1"/>
    <col min="11" max="12" width="9.6328125" style="27" customWidth="1"/>
    <col min="13" max="13" width="38.453125" style="27" customWidth="1"/>
    <col min="14" max="14" width="36.453125" style="27" customWidth="1"/>
    <col min="15" max="16384" width="9.1796875" style="27"/>
  </cols>
  <sheetData>
    <row r="1" spans="1:13" ht="15.5" x14ac:dyDescent="0.35">
      <c r="A1" s="53" t="s">
        <v>343</v>
      </c>
      <c r="C1" s="54" t="s">
        <v>112</v>
      </c>
    </row>
    <row r="2" spans="1:13" x14ac:dyDescent="0.35">
      <c r="A2" s="41"/>
      <c r="B2" s="53" t="s">
        <v>302</v>
      </c>
      <c r="C2" s="130" t="s">
        <v>363</v>
      </c>
      <c r="D2" s="53" t="s">
        <v>301</v>
      </c>
      <c r="E2" s="132">
        <v>45742</v>
      </c>
      <c r="F2" s="41"/>
      <c r="G2" s="41"/>
      <c r="H2" s="41"/>
      <c r="I2" s="41"/>
      <c r="J2" s="41"/>
      <c r="K2" s="41"/>
      <c r="L2" s="41"/>
    </row>
    <row r="3" spans="1:13" s="29" customFormat="1" x14ac:dyDescent="0.35">
      <c r="A3" s="60"/>
      <c r="B3" s="53" t="s">
        <v>303</v>
      </c>
      <c r="C3" s="131" t="s">
        <v>366</v>
      </c>
      <c r="D3" s="55"/>
      <c r="E3" s="56"/>
      <c r="F3" s="60"/>
      <c r="G3" s="60"/>
      <c r="H3" s="60"/>
      <c r="I3" s="60"/>
      <c r="J3" s="60"/>
      <c r="K3" s="60"/>
      <c r="L3" s="60"/>
    </row>
    <row r="4" spans="1:13" ht="15.5" x14ac:dyDescent="0.35">
      <c r="A4" s="41"/>
      <c r="B4" s="63" t="s">
        <v>304</v>
      </c>
      <c r="C4" s="70" t="s">
        <v>364</v>
      </c>
      <c r="D4" s="41"/>
      <c r="E4" s="41"/>
      <c r="F4" s="41"/>
      <c r="G4" s="41"/>
      <c r="H4" s="41"/>
      <c r="I4" s="41"/>
      <c r="J4" s="41"/>
      <c r="K4" s="41"/>
      <c r="L4" s="41"/>
    </row>
    <row r="5" spans="1:13" ht="15" thickBot="1" x14ac:dyDescent="0.4">
      <c r="A5" s="41"/>
      <c r="B5" s="41"/>
      <c r="C5" s="41"/>
      <c r="D5" s="41"/>
      <c r="E5" s="41"/>
      <c r="F5" s="57" t="s">
        <v>336</v>
      </c>
      <c r="G5" s="57" t="s">
        <v>314</v>
      </c>
      <c r="H5" s="57" t="s">
        <v>314</v>
      </c>
      <c r="I5" s="57" t="s">
        <v>314</v>
      </c>
      <c r="J5" s="41"/>
      <c r="K5" s="41"/>
      <c r="L5" s="41"/>
    </row>
    <row r="6" spans="1:13" ht="15" thickBot="1" x14ac:dyDescent="0.4">
      <c r="A6" s="61" t="s">
        <v>4</v>
      </c>
      <c r="B6" s="64" t="s">
        <v>3</v>
      </c>
      <c r="C6" s="65" t="s">
        <v>0</v>
      </c>
      <c r="D6" s="65" t="s">
        <v>10</v>
      </c>
      <c r="E6" s="64" t="s">
        <v>2</v>
      </c>
      <c r="F6" s="65" t="s">
        <v>249</v>
      </c>
      <c r="G6" s="65" t="s">
        <v>250</v>
      </c>
      <c r="H6" s="65" t="s">
        <v>251</v>
      </c>
      <c r="I6" s="65" t="s">
        <v>252</v>
      </c>
      <c r="J6" s="64" t="s">
        <v>100</v>
      </c>
      <c r="K6" s="66" t="s">
        <v>107</v>
      </c>
      <c r="L6" s="67" t="s">
        <v>9</v>
      </c>
    </row>
    <row r="7" spans="1:13" x14ac:dyDescent="0.35">
      <c r="A7" s="173" t="s">
        <v>11</v>
      </c>
      <c r="B7" s="58">
        <v>1</v>
      </c>
      <c r="C7" s="43" t="s">
        <v>365</v>
      </c>
      <c r="D7" s="48" t="s">
        <v>359</v>
      </c>
      <c r="E7" s="59" t="s">
        <v>1</v>
      </c>
      <c r="F7" s="136">
        <v>135</v>
      </c>
      <c r="G7" s="184">
        <v>3.9</v>
      </c>
      <c r="H7" s="184">
        <v>2.7160000000000002</v>
      </c>
      <c r="I7" s="184">
        <v>1.5</v>
      </c>
      <c r="J7" s="59" t="s">
        <v>188</v>
      </c>
      <c r="K7" s="59" t="s">
        <v>193</v>
      </c>
      <c r="L7" s="174"/>
    </row>
    <row r="8" spans="1:13" x14ac:dyDescent="0.35">
      <c r="A8" s="13" t="s">
        <v>345</v>
      </c>
      <c r="B8" s="13" t="s">
        <v>346</v>
      </c>
      <c r="C8" s="187" t="s">
        <v>360</v>
      </c>
      <c r="D8" s="13" t="s">
        <v>361</v>
      </c>
      <c r="E8" s="13" t="s">
        <v>362</v>
      </c>
      <c r="F8" s="13" t="s">
        <v>347</v>
      </c>
      <c r="G8" s="185"/>
      <c r="H8" s="185"/>
      <c r="I8" s="185"/>
      <c r="J8" s="59"/>
      <c r="K8" s="59"/>
      <c r="L8" s="174"/>
    </row>
    <row r="9" spans="1:13" x14ac:dyDescent="0.35">
      <c r="A9" s="13" t="s">
        <v>348</v>
      </c>
      <c r="B9" s="13" t="s">
        <v>346</v>
      </c>
      <c r="C9" s="13" t="s">
        <v>228</v>
      </c>
      <c r="D9" s="13" t="s">
        <v>349</v>
      </c>
      <c r="E9" s="13" t="s">
        <v>350</v>
      </c>
      <c r="F9" s="13" t="s">
        <v>351</v>
      </c>
      <c r="G9" s="185"/>
      <c r="H9" s="185"/>
      <c r="I9" s="185"/>
      <c r="J9" s="59"/>
      <c r="K9" s="59"/>
      <c r="L9" s="174"/>
    </row>
    <row r="10" spans="1:13" x14ac:dyDescent="0.35">
      <c r="A10" s="186" t="s">
        <v>153</v>
      </c>
      <c r="B10" s="37">
        <v>1</v>
      </c>
      <c r="C10" s="40" t="s">
        <v>121</v>
      </c>
      <c r="D10" s="13" t="s">
        <v>123</v>
      </c>
      <c r="E10" s="13" t="s">
        <v>102</v>
      </c>
      <c r="F10" s="13" t="s">
        <v>352</v>
      </c>
      <c r="G10" s="13" t="s">
        <v>353</v>
      </c>
      <c r="H10" s="13" t="s">
        <v>354</v>
      </c>
      <c r="I10" s="13" t="s">
        <v>355</v>
      </c>
      <c r="J10" s="68" t="s">
        <v>155</v>
      </c>
      <c r="K10" s="36" t="s">
        <v>35</v>
      </c>
      <c r="L10" s="176" t="s">
        <v>130</v>
      </c>
    </row>
    <row r="11" spans="1:13" x14ac:dyDescent="0.35">
      <c r="A11" s="186" t="s">
        <v>154</v>
      </c>
      <c r="B11" s="37">
        <v>2</v>
      </c>
      <c r="C11" s="40" t="s">
        <v>95</v>
      </c>
      <c r="D11" s="13" t="s">
        <v>137</v>
      </c>
      <c r="E11" s="13" t="s">
        <v>102</v>
      </c>
      <c r="F11" s="13" t="s">
        <v>356</v>
      </c>
      <c r="G11" s="13" t="s">
        <v>357</v>
      </c>
      <c r="H11" s="13" t="s">
        <v>358</v>
      </c>
      <c r="I11" s="13" t="s">
        <v>346</v>
      </c>
      <c r="J11" s="69" t="s">
        <v>191</v>
      </c>
      <c r="K11" s="36" t="s">
        <v>115</v>
      </c>
      <c r="L11" s="177"/>
    </row>
    <row r="12" spans="1:13" x14ac:dyDescent="0.35">
      <c r="A12" s="175"/>
      <c r="B12" s="37"/>
      <c r="C12" s="40"/>
      <c r="D12" s="36"/>
      <c r="E12" s="36"/>
      <c r="F12" s="139"/>
      <c r="G12" s="138"/>
      <c r="H12" s="138"/>
      <c r="I12" s="138"/>
      <c r="J12" s="36"/>
      <c r="K12" s="36"/>
      <c r="L12" s="176"/>
    </row>
    <row r="13" spans="1:13" x14ac:dyDescent="0.35">
      <c r="A13" s="175"/>
      <c r="B13" s="37"/>
      <c r="C13" s="40"/>
      <c r="D13" s="36"/>
      <c r="E13" s="36"/>
      <c r="F13" s="139"/>
      <c r="G13" s="138"/>
      <c r="H13" s="138"/>
      <c r="I13" s="138"/>
      <c r="J13" s="36"/>
      <c r="K13" s="36"/>
      <c r="L13" s="176"/>
    </row>
    <row r="14" spans="1:13" x14ac:dyDescent="0.35">
      <c r="A14" s="175" t="s">
        <v>13</v>
      </c>
      <c r="B14" s="37">
        <v>1</v>
      </c>
      <c r="C14" s="36" t="s">
        <v>15</v>
      </c>
      <c r="D14" s="36" t="s">
        <v>105</v>
      </c>
      <c r="E14" s="36" t="s">
        <v>6</v>
      </c>
      <c r="F14" s="139">
        <v>2</v>
      </c>
      <c r="G14" s="138"/>
      <c r="H14" s="138"/>
      <c r="I14" s="138"/>
      <c r="J14" s="36" t="s">
        <v>190</v>
      </c>
      <c r="K14" s="36" t="s">
        <v>156</v>
      </c>
      <c r="L14" s="176"/>
    </row>
    <row r="15" spans="1:13" x14ac:dyDescent="0.35">
      <c r="A15" s="175" t="s">
        <v>14</v>
      </c>
      <c r="B15" s="37">
        <v>1</v>
      </c>
      <c r="C15" s="36" t="s">
        <v>324</v>
      </c>
      <c r="D15" s="36" t="s">
        <v>106</v>
      </c>
      <c r="E15" s="36" t="s">
        <v>6</v>
      </c>
      <c r="F15" s="139">
        <v>7</v>
      </c>
      <c r="G15" s="138"/>
      <c r="H15" s="138"/>
      <c r="I15" s="140"/>
      <c r="J15" s="36" t="s">
        <v>190</v>
      </c>
      <c r="K15" s="36" t="s">
        <v>156</v>
      </c>
      <c r="L15" s="178"/>
    </row>
    <row r="16" spans="1:13" x14ac:dyDescent="0.35">
      <c r="A16" s="179" t="s">
        <v>197</v>
      </c>
      <c r="B16" s="44">
        <v>1</v>
      </c>
      <c r="C16" s="45" t="s">
        <v>325</v>
      </c>
      <c r="D16" s="45" t="s">
        <v>198</v>
      </c>
      <c r="E16" s="45" t="s">
        <v>6</v>
      </c>
      <c r="F16" s="137">
        <v>7</v>
      </c>
      <c r="G16" s="138"/>
      <c r="H16" s="138"/>
      <c r="I16" s="138"/>
      <c r="J16" s="45" t="s">
        <v>190</v>
      </c>
      <c r="K16" s="45" t="s">
        <v>156</v>
      </c>
      <c r="L16" s="176"/>
      <c r="M16" s="29"/>
    </row>
    <row r="17" spans="1:13" x14ac:dyDescent="0.35">
      <c r="A17" s="179" t="s">
        <v>299</v>
      </c>
      <c r="B17" s="44">
        <v>1</v>
      </c>
      <c r="C17" s="89" t="s">
        <v>326</v>
      </c>
      <c r="D17" s="45" t="s">
        <v>300</v>
      </c>
      <c r="E17" s="45" t="s">
        <v>6</v>
      </c>
      <c r="F17" s="137">
        <v>14</v>
      </c>
      <c r="G17" s="138"/>
      <c r="H17" s="138"/>
      <c r="I17" s="138"/>
      <c r="J17" s="45" t="s">
        <v>190</v>
      </c>
      <c r="K17" s="45" t="s">
        <v>156</v>
      </c>
      <c r="L17" s="176"/>
      <c r="M17" s="29"/>
    </row>
    <row r="18" spans="1:13" x14ac:dyDescent="0.35">
      <c r="A18" s="175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176"/>
      <c r="M18" s="29"/>
    </row>
    <row r="19" spans="1:13" ht="15" thickBot="1" x14ac:dyDescent="0.4">
      <c r="A19" s="180"/>
      <c r="B19" s="181"/>
      <c r="C19" s="182"/>
      <c r="D19" s="182"/>
      <c r="E19" s="182"/>
      <c r="F19" s="182"/>
      <c r="G19" s="182"/>
      <c r="H19" s="182"/>
      <c r="I19" s="182"/>
      <c r="J19" s="182"/>
      <c r="K19" s="182"/>
      <c r="L19" s="183"/>
      <c r="M19" s="29"/>
    </row>
    <row r="20" spans="1:13" x14ac:dyDescent="0.35">
      <c r="E20" s="29"/>
      <c r="F20" s="29"/>
      <c r="G20" s="29"/>
      <c r="H20" s="29"/>
      <c r="I20" s="29"/>
      <c r="J20" s="29"/>
      <c r="K20" s="29"/>
      <c r="L20" s="29"/>
      <c r="M20" s="29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J49" sqref="J49"/>
    </sheetView>
  </sheetViews>
  <sheetFormatPr defaultColWidth="9.1796875" defaultRowHeight="14.5" x14ac:dyDescent="0.35"/>
  <cols>
    <col min="1" max="3" width="18" style="84" customWidth="1"/>
    <col min="4" max="7" width="9.54296875" style="84" customWidth="1"/>
    <col min="8" max="10" width="29.453125" style="85" customWidth="1"/>
    <col min="11" max="11" width="14.453125" style="85" bestFit="1" customWidth="1"/>
    <col min="12" max="14" width="9.1796875" style="85"/>
    <col min="15" max="16384" width="9.1796875" style="84"/>
  </cols>
  <sheetData>
    <row r="1" spans="1:10" ht="29.5" thickBot="1" x14ac:dyDescent="0.4">
      <c r="A1" s="122" t="s">
        <v>116</v>
      </c>
      <c r="B1" s="124" t="s">
        <v>296</v>
      </c>
      <c r="C1" s="123" t="s">
        <v>117</v>
      </c>
      <c r="D1" s="124" t="s">
        <v>118</v>
      </c>
      <c r="E1" s="124" t="s">
        <v>310</v>
      </c>
      <c r="F1" s="124" t="s">
        <v>311</v>
      </c>
      <c r="G1" s="124" t="s">
        <v>312</v>
      </c>
      <c r="H1" s="123" t="s">
        <v>119</v>
      </c>
      <c r="I1" s="123" t="s">
        <v>120</v>
      </c>
      <c r="J1" s="90" t="s">
        <v>259</v>
      </c>
    </row>
    <row r="2" spans="1:10" x14ac:dyDescent="0.35">
      <c r="A2" s="160" t="s">
        <v>121</v>
      </c>
      <c r="B2" s="107" t="s">
        <v>114</v>
      </c>
      <c r="C2" s="107" t="s">
        <v>102</v>
      </c>
      <c r="D2" s="108">
        <v>102</v>
      </c>
      <c r="E2" s="142">
        <v>9.375</v>
      </c>
      <c r="F2" s="142">
        <v>7</v>
      </c>
      <c r="G2" s="142">
        <v>2</v>
      </c>
      <c r="H2" s="119"/>
      <c r="I2" s="119"/>
      <c r="J2" s="161">
        <v>55526</v>
      </c>
    </row>
    <row r="3" spans="1:10" x14ac:dyDescent="0.35">
      <c r="A3" s="162" t="s">
        <v>121</v>
      </c>
      <c r="B3" s="109" t="s">
        <v>122</v>
      </c>
      <c r="C3" s="109" t="s">
        <v>102</v>
      </c>
      <c r="D3" s="110">
        <v>181.4</v>
      </c>
      <c r="E3" s="143">
        <v>12</v>
      </c>
      <c r="F3" s="143">
        <v>9.25</v>
      </c>
      <c r="G3" s="143">
        <v>2</v>
      </c>
      <c r="H3" s="120"/>
      <c r="I3" s="120"/>
      <c r="J3" s="163">
        <v>55527</v>
      </c>
    </row>
    <row r="4" spans="1:10" x14ac:dyDescent="0.35">
      <c r="A4" s="162" t="s">
        <v>121</v>
      </c>
      <c r="B4" s="109" t="s">
        <v>123</v>
      </c>
      <c r="C4" s="109" t="s">
        <v>102</v>
      </c>
      <c r="D4" s="110">
        <v>226.8</v>
      </c>
      <c r="E4" s="143">
        <v>13</v>
      </c>
      <c r="F4" s="143">
        <v>9.375</v>
      </c>
      <c r="G4" s="143">
        <v>4</v>
      </c>
      <c r="H4" s="120"/>
      <c r="I4" s="120"/>
      <c r="J4" s="163">
        <v>55523</v>
      </c>
    </row>
    <row r="5" spans="1:10" x14ac:dyDescent="0.35">
      <c r="A5" s="162" t="s">
        <v>121</v>
      </c>
      <c r="B5" s="109" t="s">
        <v>124</v>
      </c>
      <c r="C5" s="109" t="s">
        <v>125</v>
      </c>
      <c r="D5" s="110">
        <v>226.8</v>
      </c>
      <c r="E5" s="143">
        <v>12.2</v>
      </c>
      <c r="F5" s="143">
        <v>8.9</v>
      </c>
      <c r="G5" s="143">
        <v>1.25</v>
      </c>
      <c r="H5" s="120"/>
      <c r="I5" s="120"/>
      <c r="J5" s="163">
        <v>10124041</v>
      </c>
    </row>
    <row r="6" spans="1:10" x14ac:dyDescent="0.35">
      <c r="A6" s="162" t="s">
        <v>121</v>
      </c>
      <c r="B6" s="109" t="s">
        <v>126</v>
      </c>
      <c r="C6" s="109" t="s">
        <v>125</v>
      </c>
      <c r="D6" s="110">
        <v>272</v>
      </c>
      <c r="E6" s="143">
        <v>11.8</v>
      </c>
      <c r="F6" s="143">
        <v>9.4499999999999993</v>
      </c>
      <c r="G6" s="143">
        <v>2</v>
      </c>
      <c r="H6" s="120"/>
      <c r="I6" s="120"/>
      <c r="J6" s="163">
        <v>10124049</v>
      </c>
    </row>
    <row r="7" spans="1:10" x14ac:dyDescent="0.35">
      <c r="A7" s="162" t="s">
        <v>121</v>
      </c>
      <c r="B7" s="109" t="s">
        <v>127</v>
      </c>
      <c r="C7" s="109" t="s">
        <v>102</v>
      </c>
      <c r="D7" s="110">
        <v>133.5</v>
      </c>
      <c r="E7" s="143">
        <v>9.375</v>
      </c>
      <c r="F7" s="143">
        <v>7</v>
      </c>
      <c r="G7" s="143">
        <v>3</v>
      </c>
      <c r="H7" s="120"/>
      <c r="I7" s="120"/>
      <c r="J7" s="164">
        <v>56406</v>
      </c>
    </row>
    <row r="8" spans="1:10" x14ac:dyDescent="0.35">
      <c r="A8" s="162" t="s">
        <v>121</v>
      </c>
      <c r="B8" s="109" t="s">
        <v>128</v>
      </c>
      <c r="C8" s="109" t="s">
        <v>102</v>
      </c>
      <c r="D8" s="110">
        <v>61.5</v>
      </c>
      <c r="E8" s="143">
        <v>9</v>
      </c>
      <c r="F8" s="143">
        <v>5.75</v>
      </c>
      <c r="G8" s="143">
        <v>1.125</v>
      </c>
      <c r="H8" s="120" t="s">
        <v>307</v>
      </c>
      <c r="I8" s="120"/>
      <c r="J8" s="164" t="s">
        <v>260</v>
      </c>
    </row>
    <row r="9" spans="1:10" x14ac:dyDescent="0.35">
      <c r="A9" s="162" t="s">
        <v>121</v>
      </c>
      <c r="B9" s="109" t="s">
        <v>129</v>
      </c>
      <c r="C9" s="109" t="s">
        <v>102</v>
      </c>
      <c r="D9" s="110">
        <v>61.5</v>
      </c>
      <c r="E9" s="143">
        <v>9</v>
      </c>
      <c r="F9" s="143">
        <v>5.75</v>
      </c>
      <c r="G9" s="143">
        <v>1.125</v>
      </c>
      <c r="H9" s="120" t="s">
        <v>130</v>
      </c>
      <c r="I9" s="120"/>
      <c r="J9" s="164">
        <v>56549</v>
      </c>
    </row>
    <row r="10" spans="1:10" x14ac:dyDescent="0.35">
      <c r="A10" s="162" t="s">
        <v>121</v>
      </c>
      <c r="B10" s="109" t="s">
        <v>131</v>
      </c>
      <c r="C10" s="109" t="s">
        <v>102</v>
      </c>
      <c r="D10" s="110">
        <v>65.5</v>
      </c>
      <c r="E10" s="143">
        <v>5.75</v>
      </c>
      <c r="F10" s="143">
        <v>4.5</v>
      </c>
      <c r="G10" s="143">
        <v>1.125</v>
      </c>
      <c r="H10" s="120" t="s">
        <v>307</v>
      </c>
      <c r="I10" s="120"/>
      <c r="J10" s="163" t="s">
        <v>261</v>
      </c>
    </row>
    <row r="11" spans="1:10" x14ac:dyDescent="0.35">
      <c r="A11" s="162" t="s">
        <v>121</v>
      </c>
      <c r="B11" s="109" t="s">
        <v>132</v>
      </c>
      <c r="C11" s="109" t="s">
        <v>102</v>
      </c>
      <c r="D11" s="110">
        <v>37.5</v>
      </c>
      <c r="E11" s="143">
        <v>5.75</v>
      </c>
      <c r="F11" s="143">
        <v>4.5</v>
      </c>
      <c r="G11" s="143">
        <v>1.125</v>
      </c>
      <c r="H11" s="120"/>
      <c r="I11" s="120"/>
      <c r="J11" s="163">
        <v>56550</v>
      </c>
    </row>
    <row r="12" spans="1:10" x14ac:dyDescent="0.35">
      <c r="A12" s="162" t="s">
        <v>121</v>
      </c>
      <c r="B12" s="109" t="s">
        <v>133</v>
      </c>
      <c r="C12" s="109" t="s">
        <v>102</v>
      </c>
      <c r="D12" s="110">
        <v>57</v>
      </c>
      <c r="E12" s="143">
        <v>5.75</v>
      </c>
      <c r="F12" s="143">
        <v>4.5</v>
      </c>
      <c r="G12" s="143">
        <v>2</v>
      </c>
      <c r="H12" s="120"/>
      <c r="I12" s="120"/>
      <c r="J12" s="163">
        <v>56551</v>
      </c>
    </row>
    <row r="13" spans="1:10" x14ac:dyDescent="0.35">
      <c r="A13" s="162" t="s">
        <v>121</v>
      </c>
      <c r="B13" s="109" t="s">
        <v>134</v>
      </c>
      <c r="C13" s="109" t="s">
        <v>151</v>
      </c>
      <c r="D13" s="110">
        <v>544.20000000000005</v>
      </c>
      <c r="E13" s="143">
        <v>20</v>
      </c>
      <c r="F13" s="143">
        <v>11.375</v>
      </c>
      <c r="G13" s="143">
        <v>5.5</v>
      </c>
      <c r="H13" s="120"/>
      <c r="I13" s="120"/>
      <c r="J13" s="164" t="s">
        <v>262</v>
      </c>
    </row>
    <row r="14" spans="1:10" x14ac:dyDescent="0.35">
      <c r="A14" s="162" t="s">
        <v>121</v>
      </c>
      <c r="B14" s="109" t="s">
        <v>135</v>
      </c>
      <c r="C14" s="109" t="s">
        <v>151</v>
      </c>
      <c r="D14" s="110">
        <v>907</v>
      </c>
      <c r="E14" s="143">
        <v>26</v>
      </c>
      <c r="F14" s="143">
        <v>18</v>
      </c>
      <c r="G14" s="143">
        <v>4</v>
      </c>
      <c r="H14" s="120" t="s">
        <v>337</v>
      </c>
      <c r="I14" s="120"/>
      <c r="J14" s="164" t="s">
        <v>263</v>
      </c>
    </row>
    <row r="15" spans="1:10" x14ac:dyDescent="0.35">
      <c r="A15" s="162" t="s">
        <v>121</v>
      </c>
      <c r="B15" s="109" t="s">
        <v>136</v>
      </c>
      <c r="C15" s="109" t="s">
        <v>102</v>
      </c>
      <c r="D15" s="110">
        <v>102</v>
      </c>
      <c r="E15" s="143">
        <v>11.625</v>
      </c>
      <c r="F15" s="143">
        <v>7.5</v>
      </c>
      <c r="G15" s="143">
        <v>2.125</v>
      </c>
      <c r="H15" s="120"/>
      <c r="I15" s="120"/>
      <c r="J15" s="163" t="s">
        <v>130</v>
      </c>
    </row>
    <row r="16" spans="1:10" x14ac:dyDescent="0.35">
      <c r="A16" s="162" t="s">
        <v>121</v>
      </c>
      <c r="B16" s="109" t="s">
        <v>255</v>
      </c>
      <c r="C16" s="133" t="s">
        <v>306</v>
      </c>
      <c r="D16" s="110">
        <v>81</v>
      </c>
      <c r="E16" s="143">
        <v>8</v>
      </c>
      <c r="F16" s="143">
        <v>4</v>
      </c>
      <c r="G16" s="143">
        <v>2</v>
      </c>
      <c r="H16" s="120"/>
      <c r="I16" s="120"/>
      <c r="J16" s="163" t="s">
        <v>273</v>
      </c>
    </row>
    <row r="17" spans="1:11" x14ac:dyDescent="0.35">
      <c r="A17" s="162" t="s">
        <v>121</v>
      </c>
      <c r="B17" s="109" t="s">
        <v>256</v>
      </c>
      <c r="C17" s="109" t="s">
        <v>151</v>
      </c>
      <c r="D17" s="110">
        <v>350</v>
      </c>
      <c r="E17" s="143">
        <v>12</v>
      </c>
      <c r="F17" s="143">
        <v>9</v>
      </c>
      <c r="G17" s="143">
        <v>6</v>
      </c>
      <c r="H17" s="120"/>
      <c r="I17" s="120"/>
      <c r="J17" s="163" t="s">
        <v>258</v>
      </c>
    </row>
    <row r="18" spans="1:11" x14ac:dyDescent="0.35">
      <c r="A18" s="162" t="s">
        <v>121</v>
      </c>
      <c r="B18" s="109" t="s">
        <v>264</v>
      </c>
      <c r="C18" s="109" t="s">
        <v>151</v>
      </c>
      <c r="D18" s="111">
        <v>185.9</v>
      </c>
      <c r="E18" s="144">
        <v>9</v>
      </c>
      <c r="F18" s="144">
        <v>7</v>
      </c>
      <c r="G18" s="144">
        <v>4</v>
      </c>
      <c r="H18" s="120"/>
      <c r="I18" s="120"/>
      <c r="J18" s="163" t="s">
        <v>265</v>
      </c>
    </row>
    <row r="19" spans="1:11" x14ac:dyDescent="0.35">
      <c r="A19" s="162" t="s">
        <v>121</v>
      </c>
      <c r="B19" s="109" t="s">
        <v>274</v>
      </c>
      <c r="C19" s="109" t="s">
        <v>340</v>
      </c>
      <c r="D19" s="112">
        <v>200</v>
      </c>
      <c r="E19" s="145">
        <v>16</v>
      </c>
      <c r="F19" s="145">
        <v>7.875</v>
      </c>
      <c r="G19" s="145">
        <v>5.3</v>
      </c>
      <c r="H19" s="120" t="s">
        <v>341</v>
      </c>
      <c r="I19" s="120"/>
      <c r="J19" s="163" t="s">
        <v>276</v>
      </c>
    </row>
    <row r="20" spans="1:11" x14ac:dyDescent="0.35">
      <c r="A20" s="162" t="s">
        <v>121</v>
      </c>
      <c r="B20" s="109" t="s">
        <v>275</v>
      </c>
      <c r="C20" s="109" t="s">
        <v>282</v>
      </c>
      <c r="D20" s="110">
        <v>293</v>
      </c>
      <c r="E20" s="143">
        <v>18</v>
      </c>
      <c r="F20" s="143">
        <v>11</v>
      </c>
      <c r="G20" s="143">
        <v>9.5</v>
      </c>
      <c r="H20" s="120"/>
      <c r="I20" s="120"/>
      <c r="J20" s="163" t="s">
        <v>281</v>
      </c>
    </row>
    <row r="21" spans="1:11" ht="10.5" customHeight="1" x14ac:dyDescent="0.35">
      <c r="A21" s="165"/>
      <c r="B21" s="113"/>
      <c r="C21" s="113"/>
      <c r="D21" s="114"/>
      <c r="E21" s="146"/>
      <c r="F21" s="146"/>
      <c r="G21" s="146"/>
      <c r="H21" s="121"/>
      <c r="I21" s="121"/>
      <c r="J21" s="166"/>
    </row>
    <row r="22" spans="1:11" x14ac:dyDescent="0.35">
      <c r="A22" s="162" t="s">
        <v>95</v>
      </c>
      <c r="B22" s="115" t="s">
        <v>137</v>
      </c>
      <c r="C22" s="115" t="s">
        <v>102</v>
      </c>
      <c r="D22" s="116">
        <v>16</v>
      </c>
      <c r="E22" s="143">
        <v>9.0625</v>
      </c>
      <c r="F22" s="143">
        <v>6.75</v>
      </c>
      <c r="G22" s="143">
        <v>1</v>
      </c>
      <c r="H22" s="120" t="s">
        <v>281</v>
      </c>
      <c r="I22" s="120" t="s">
        <v>293</v>
      </c>
      <c r="J22" s="163" t="s">
        <v>266</v>
      </c>
      <c r="K22" s="84"/>
    </row>
    <row r="23" spans="1:11" x14ac:dyDescent="0.35">
      <c r="A23" s="162" t="s">
        <v>95</v>
      </c>
      <c r="B23" s="115" t="s">
        <v>138</v>
      </c>
      <c r="C23" s="115" t="s">
        <v>102</v>
      </c>
      <c r="D23" s="116">
        <v>55</v>
      </c>
      <c r="E23" s="143">
        <v>11.75</v>
      </c>
      <c r="F23" s="143">
        <v>9</v>
      </c>
      <c r="G23" s="143">
        <v>1</v>
      </c>
      <c r="H23" s="120"/>
      <c r="I23" s="120" t="s">
        <v>122</v>
      </c>
      <c r="J23" s="164" t="s">
        <v>267</v>
      </c>
    </row>
    <row r="24" spans="1:11" x14ac:dyDescent="0.35">
      <c r="A24" s="162" t="s">
        <v>95</v>
      </c>
      <c r="B24" s="115" t="s">
        <v>139</v>
      </c>
      <c r="C24" s="115" t="s">
        <v>102</v>
      </c>
      <c r="D24" s="116">
        <v>118</v>
      </c>
      <c r="E24" s="143">
        <v>12.75</v>
      </c>
      <c r="F24" s="143">
        <v>9.125</v>
      </c>
      <c r="G24" s="143">
        <v>2</v>
      </c>
      <c r="H24" s="120"/>
      <c r="I24" s="120" t="s">
        <v>123</v>
      </c>
      <c r="J24" s="163" t="s">
        <v>268</v>
      </c>
    </row>
    <row r="25" spans="1:11" x14ac:dyDescent="0.35">
      <c r="A25" s="162" t="s">
        <v>95</v>
      </c>
      <c r="B25" s="115" t="s">
        <v>113</v>
      </c>
      <c r="C25" s="115" t="s">
        <v>102</v>
      </c>
      <c r="D25" s="116">
        <v>13</v>
      </c>
      <c r="E25" s="143">
        <v>5.625</v>
      </c>
      <c r="F25" s="143">
        <v>4.375</v>
      </c>
      <c r="G25" s="143">
        <v>1</v>
      </c>
      <c r="H25" s="120"/>
      <c r="I25" s="120" t="s">
        <v>133</v>
      </c>
      <c r="J25" s="163" t="s">
        <v>269</v>
      </c>
    </row>
    <row r="26" spans="1:11" x14ac:dyDescent="0.35">
      <c r="A26" s="162" t="s">
        <v>95</v>
      </c>
      <c r="B26" s="115" t="s">
        <v>140</v>
      </c>
      <c r="C26" s="115" t="s">
        <v>285</v>
      </c>
      <c r="D26" s="116">
        <v>31</v>
      </c>
      <c r="E26" s="143">
        <v>9.0500000000000007</v>
      </c>
      <c r="F26" s="143">
        <v>6.7</v>
      </c>
      <c r="G26" s="143">
        <v>1</v>
      </c>
      <c r="H26" s="120"/>
      <c r="I26" s="120" t="s">
        <v>141</v>
      </c>
      <c r="J26" s="163" t="s">
        <v>270</v>
      </c>
    </row>
    <row r="27" spans="1:11" x14ac:dyDescent="0.35">
      <c r="A27" s="162" t="s">
        <v>95</v>
      </c>
      <c r="B27" s="115" t="s">
        <v>142</v>
      </c>
      <c r="C27" s="115" t="s">
        <v>285</v>
      </c>
      <c r="D27" s="116">
        <v>24</v>
      </c>
      <c r="E27" s="143">
        <v>9.0500000000000007</v>
      </c>
      <c r="F27" s="143">
        <v>6.7</v>
      </c>
      <c r="G27" s="143">
        <v>2</v>
      </c>
      <c r="H27" s="120"/>
      <c r="I27" s="120" t="s">
        <v>143</v>
      </c>
      <c r="J27" s="163" t="s">
        <v>270</v>
      </c>
    </row>
    <row r="28" spans="1:11" x14ac:dyDescent="0.35">
      <c r="A28" s="162" t="s">
        <v>95</v>
      </c>
      <c r="B28" s="115" t="s">
        <v>144</v>
      </c>
      <c r="C28" s="115" t="s">
        <v>102</v>
      </c>
      <c r="D28" s="116">
        <v>272.2</v>
      </c>
      <c r="E28" s="143">
        <v>20</v>
      </c>
      <c r="F28" s="143">
        <v>11.25</v>
      </c>
      <c r="G28" s="143">
        <v>2.75</v>
      </c>
      <c r="H28" s="120"/>
      <c r="I28" s="120" t="s">
        <v>134</v>
      </c>
      <c r="J28" s="163" t="s">
        <v>271</v>
      </c>
    </row>
    <row r="29" spans="1:11" x14ac:dyDescent="0.35">
      <c r="A29" s="162" t="s">
        <v>95</v>
      </c>
      <c r="B29" s="115" t="s">
        <v>145</v>
      </c>
      <c r="C29" s="115" t="s">
        <v>102</v>
      </c>
      <c r="D29" s="116">
        <v>5.5</v>
      </c>
      <c r="E29" s="143" t="s">
        <v>315</v>
      </c>
      <c r="F29" s="143">
        <v>12</v>
      </c>
      <c r="G29" s="143">
        <v>0.125</v>
      </c>
      <c r="H29" s="120" t="s">
        <v>338</v>
      </c>
      <c r="I29" s="120" t="s">
        <v>294</v>
      </c>
      <c r="J29" s="163" t="s">
        <v>272</v>
      </c>
    </row>
    <row r="30" spans="1:11" x14ac:dyDescent="0.35">
      <c r="A30" s="162" t="s">
        <v>95</v>
      </c>
      <c r="B30" s="115" t="s">
        <v>257</v>
      </c>
      <c r="C30" s="115" t="s">
        <v>102</v>
      </c>
      <c r="D30" s="116">
        <v>140</v>
      </c>
      <c r="E30" s="143">
        <v>12</v>
      </c>
      <c r="F30" s="143">
        <v>9</v>
      </c>
      <c r="G30" s="143">
        <v>3</v>
      </c>
      <c r="H30" s="120"/>
      <c r="I30" s="120" t="s">
        <v>256</v>
      </c>
      <c r="J30" s="163" t="s">
        <v>270</v>
      </c>
    </row>
    <row r="31" spans="1:11" x14ac:dyDescent="0.35">
      <c r="A31" s="162" t="s">
        <v>95</v>
      </c>
      <c r="B31" s="115" t="s">
        <v>277</v>
      </c>
      <c r="C31" s="115" t="s">
        <v>340</v>
      </c>
      <c r="D31" s="106">
        <v>100</v>
      </c>
      <c r="E31" s="145">
        <v>39.5</v>
      </c>
      <c r="F31" s="145">
        <v>19.5</v>
      </c>
      <c r="G31" s="145">
        <v>9</v>
      </c>
      <c r="H31" s="120" t="s">
        <v>341</v>
      </c>
      <c r="I31" s="120" t="s">
        <v>274</v>
      </c>
      <c r="J31" s="163" t="s">
        <v>278</v>
      </c>
    </row>
    <row r="32" spans="1:11" x14ac:dyDescent="0.35">
      <c r="A32" s="162" t="s">
        <v>95</v>
      </c>
      <c r="B32" s="115" t="s">
        <v>279</v>
      </c>
      <c r="C32" s="115" t="s">
        <v>340</v>
      </c>
      <c r="D32" s="106">
        <v>30</v>
      </c>
      <c r="E32" s="145">
        <v>36.799999999999997</v>
      </c>
      <c r="F32" s="145">
        <v>18.5</v>
      </c>
      <c r="G32" s="145">
        <v>2.5</v>
      </c>
      <c r="H32" s="120" t="s">
        <v>341</v>
      </c>
      <c r="I32" s="120" t="s">
        <v>274</v>
      </c>
      <c r="J32" s="163" t="s">
        <v>280</v>
      </c>
    </row>
    <row r="33" spans="1:10" x14ac:dyDescent="0.35">
      <c r="A33" s="162" t="s">
        <v>95</v>
      </c>
      <c r="B33" s="115" t="s">
        <v>284</v>
      </c>
      <c r="C33" s="115" t="s">
        <v>282</v>
      </c>
      <c r="D33" s="116">
        <v>331</v>
      </c>
      <c r="E33" s="143">
        <v>44.5</v>
      </c>
      <c r="F33" s="143">
        <v>26.5</v>
      </c>
      <c r="G33" s="143">
        <v>19</v>
      </c>
      <c r="H33" s="120"/>
      <c r="I33" s="120" t="s">
        <v>275</v>
      </c>
      <c r="J33" s="163" t="s">
        <v>283</v>
      </c>
    </row>
    <row r="34" spans="1:10" ht="9" customHeight="1" x14ac:dyDescent="0.35">
      <c r="A34" s="165"/>
      <c r="B34" s="113"/>
      <c r="C34" s="113"/>
      <c r="D34" s="114"/>
      <c r="E34" s="146"/>
      <c r="F34" s="146"/>
      <c r="G34" s="146"/>
      <c r="H34" s="121"/>
      <c r="I34" s="121"/>
      <c r="J34" s="166"/>
    </row>
    <row r="35" spans="1:10" x14ac:dyDescent="0.35">
      <c r="A35" s="162" t="s">
        <v>147</v>
      </c>
      <c r="B35" s="117" t="s">
        <v>146</v>
      </c>
      <c r="C35" s="117" t="s">
        <v>102</v>
      </c>
      <c r="D35" s="118">
        <v>13</v>
      </c>
      <c r="E35" s="143">
        <v>6</v>
      </c>
      <c r="F35" s="143">
        <v>10</v>
      </c>
      <c r="G35" s="143">
        <v>0</v>
      </c>
      <c r="H35" s="120" t="s">
        <v>305</v>
      </c>
      <c r="I35" s="120"/>
      <c r="J35" s="163"/>
    </row>
    <row r="36" spans="1:10" x14ac:dyDescent="0.35">
      <c r="A36" s="162" t="s">
        <v>147</v>
      </c>
      <c r="B36" s="117" t="s">
        <v>148</v>
      </c>
      <c r="C36" s="117" t="s">
        <v>102</v>
      </c>
      <c r="D36" s="118">
        <v>22.4</v>
      </c>
      <c r="E36" s="143">
        <v>8.5</v>
      </c>
      <c r="F36" s="143">
        <v>12</v>
      </c>
      <c r="G36" s="143">
        <v>0</v>
      </c>
      <c r="H36" s="120" t="s">
        <v>305</v>
      </c>
      <c r="I36" s="120"/>
      <c r="J36" s="163"/>
    </row>
    <row r="37" spans="1:10" x14ac:dyDescent="0.35">
      <c r="A37" s="162" t="s">
        <v>147</v>
      </c>
      <c r="B37" s="117" t="s">
        <v>149</v>
      </c>
      <c r="C37" s="117" t="s">
        <v>102</v>
      </c>
      <c r="D37" s="118">
        <v>30.2</v>
      </c>
      <c r="E37" s="143">
        <v>9.5</v>
      </c>
      <c r="F37" s="143">
        <v>14.5</v>
      </c>
      <c r="G37" s="143">
        <v>0</v>
      </c>
      <c r="H37" s="120" t="s">
        <v>305</v>
      </c>
      <c r="I37" s="120"/>
      <c r="J37" s="163"/>
    </row>
    <row r="38" spans="1:10" x14ac:dyDescent="0.35">
      <c r="A38" s="162" t="s">
        <v>253</v>
      </c>
      <c r="B38" s="117" t="s">
        <v>150</v>
      </c>
      <c r="C38" s="117" t="s">
        <v>151</v>
      </c>
      <c r="D38" s="118">
        <v>1.75</v>
      </c>
      <c r="E38" s="143">
        <v>5</v>
      </c>
      <c r="F38" s="143">
        <v>6</v>
      </c>
      <c r="G38" s="143">
        <v>0</v>
      </c>
      <c r="H38" s="120" t="s">
        <v>254</v>
      </c>
      <c r="I38" s="120"/>
      <c r="J38" s="163"/>
    </row>
    <row r="39" spans="1:10" ht="15" thickBot="1" x14ac:dyDescent="0.4">
      <c r="A39" s="167" t="s">
        <v>253</v>
      </c>
      <c r="B39" s="168" t="s">
        <v>152</v>
      </c>
      <c r="C39" s="168" t="s">
        <v>151</v>
      </c>
      <c r="D39" s="169">
        <v>1.5</v>
      </c>
      <c r="E39" s="170">
        <v>3</v>
      </c>
      <c r="F39" s="170">
        <v>4</v>
      </c>
      <c r="G39" s="170">
        <v>0</v>
      </c>
      <c r="H39" s="171" t="s">
        <v>254</v>
      </c>
      <c r="I39" s="171"/>
      <c r="J39" s="17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6953125" defaultRowHeight="14.5" x14ac:dyDescent="0.35"/>
  <cols>
    <col min="1" max="2" width="36.26953125" style="91" customWidth="1"/>
    <col min="3" max="4" width="18.54296875" style="91" customWidth="1"/>
    <col min="5" max="16384" width="36.26953125" style="91"/>
  </cols>
  <sheetData>
    <row r="1" spans="1:8" ht="15" thickBot="1" x14ac:dyDescent="0.4">
      <c r="A1" s="122" t="s">
        <v>47</v>
      </c>
      <c r="B1" s="123" t="s">
        <v>16</v>
      </c>
      <c r="C1" s="123" t="s">
        <v>100</v>
      </c>
      <c r="D1" s="86" t="s">
        <v>9</v>
      </c>
    </row>
    <row r="2" spans="1:8" x14ac:dyDescent="0.35">
      <c r="A2" s="92" t="s">
        <v>61</v>
      </c>
      <c r="B2" s="92" t="s">
        <v>27</v>
      </c>
      <c r="C2" s="92" t="s">
        <v>188</v>
      </c>
      <c r="D2" s="92"/>
    </row>
    <row r="3" spans="1:8" x14ac:dyDescent="0.35">
      <c r="A3" s="72" t="s">
        <v>85</v>
      </c>
      <c r="B3" s="72" t="s">
        <v>192</v>
      </c>
      <c r="C3" s="72" t="s">
        <v>191</v>
      </c>
      <c r="D3" s="72"/>
    </row>
    <row r="4" spans="1:8" x14ac:dyDescent="0.35">
      <c r="A4" s="72" t="s">
        <v>51</v>
      </c>
      <c r="B4" s="72" t="s">
        <v>42</v>
      </c>
      <c r="C4" s="72" t="s">
        <v>188</v>
      </c>
      <c r="D4" s="72"/>
      <c r="G4" s="93"/>
      <c r="H4" s="93"/>
    </row>
    <row r="5" spans="1:8" x14ac:dyDescent="0.35">
      <c r="A5" s="72" t="s">
        <v>83</v>
      </c>
      <c r="B5" s="72" t="s">
        <v>35</v>
      </c>
      <c r="C5" s="72" t="s">
        <v>155</v>
      </c>
      <c r="D5" s="72"/>
      <c r="G5" s="85"/>
      <c r="H5" s="93"/>
    </row>
    <row r="6" spans="1:8" x14ac:dyDescent="0.35">
      <c r="A6" s="72" t="s">
        <v>57</v>
      </c>
      <c r="B6" s="72" t="s">
        <v>36</v>
      </c>
      <c r="C6" s="72" t="s">
        <v>191</v>
      </c>
      <c r="D6" s="72"/>
      <c r="G6" s="85"/>
      <c r="H6" s="93"/>
    </row>
    <row r="7" spans="1:8" x14ac:dyDescent="0.35">
      <c r="A7" s="141" t="s">
        <v>54</v>
      </c>
      <c r="B7" s="72" t="s">
        <v>30</v>
      </c>
      <c r="C7" s="72" t="s">
        <v>191</v>
      </c>
      <c r="D7" s="72"/>
      <c r="G7" s="85"/>
      <c r="H7" s="93"/>
    </row>
    <row r="8" spans="1:8" x14ac:dyDescent="0.35">
      <c r="A8" s="141" t="s">
        <v>54</v>
      </c>
      <c r="B8" s="72" t="s">
        <v>39</v>
      </c>
      <c r="C8" s="72" t="s">
        <v>191</v>
      </c>
      <c r="D8" s="72"/>
      <c r="G8" s="85"/>
      <c r="H8" s="93"/>
    </row>
    <row r="9" spans="1:8" x14ac:dyDescent="0.35">
      <c r="A9" s="141" t="s">
        <v>54</v>
      </c>
      <c r="B9" s="72" t="s">
        <v>93</v>
      </c>
      <c r="C9" s="72" t="s">
        <v>191</v>
      </c>
      <c r="D9" s="72"/>
      <c r="G9" s="85"/>
      <c r="H9" s="93"/>
    </row>
    <row r="10" spans="1:8" x14ac:dyDescent="0.35">
      <c r="A10" s="72" t="s">
        <v>77</v>
      </c>
      <c r="B10" s="72" t="s">
        <v>76</v>
      </c>
      <c r="C10" s="72" t="s">
        <v>155</v>
      </c>
      <c r="D10" s="72"/>
      <c r="G10" s="85"/>
      <c r="H10" s="93"/>
    </row>
    <row r="11" spans="1:8" x14ac:dyDescent="0.35">
      <c r="A11" s="72" t="s">
        <v>67</v>
      </c>
      <c r="B11" s="72" t="s">
        <v>18</v>
      </c>
      <c r="C11" s="72" t="s">
        <v>188</v>
      </c>
      <c r="D11" s="72"/>
      <c r="G11" s="85"/>
      <c r="H11" s="93"/>
    </row>
    <row r="12" spans="1:8" x14ac:dyDescent="0.35">
      <c r="A12" s="72" t="s">
        <v>63</v>
      </c>
      <c r="B12" s="72" t="s">
        <v>23</v>
      </c>
      <c r="C12" s="72" t="s">
        <v>191</v>
      </c>
      <c r="D12" s="72"/>
      <c r="G12" s="85"/>
      <c r="H12" s="93"/>
    </row>
    <row r="13" spans="1:8" x14ac:dyDescent="0.35">
      <c r="A13" s="72" t="s">
        <v>82</v>
      </c>
      <c r="B13" s="72" t="s">
        <v>24</v>
      </c>
      <c r="C13" s="72" t="s">
        <v>191</v>
      </c>
      <c r="D13" s="72"/>
      <c r="G13" s="85"/>
      <c r="H13" s="93"/>
    </row>
    <row r="14" spans="1:8" x14ac:dyDescent="0.35">
      <c r="A14" s="72" t="s">
        <v>74</v>
      </c>
      <c r="B14" s="72" t="s">
        <v>25</v>
      </c>
      <c r="C14" s="72" t="s">
        <v>190</v>
      </c>
      <c r="D14" s="72"/>
      <c r="G14" s="85"/>
      <c r="H14" s="93"/>
    </row>
    <row r="15" spans="1:8" x14ac:dyDescent="0.35">
      <c r="A15" s="72" t="s">
        <v>86</v>
      </c>
      <c r="B15" s="72" t="s">
        <v>20</v>
      </c>
      <c r="C15" s="72" t="s">
        <v>188</v>
      </c>
      <c r="D15" s="72"/>
      <c r="G15" s="85"/>
      <c r="H15" s="93"/>
    </row>
    <row r="16" spans="1:8" x14ac:dyDescent="0.35">
      <c r="A16" s="72" t="s">
        <v>79</v>
      </c>
      <c r="B16" s="72" t="s">
        <v>46</v>
      </c>
      <c r="C16" s="72" t="s">
        <v>188</v>
      </c>
      <c r="D16" s="72"/>
      <c r="G16" s="85"/>
      <c r="H16" s="93"/>
    </row>
    <row r="17" spans="1:8" x14ac:dyDescent="0.35">
      <c r="A17" s="72" t="s">
        <v>71</v>
      </c>
      <c r="B17" s="72" t="s">
        <v>193</v>
      </c>
      <c r="C17" s="72" t="s">
        <v>191</v>
      </c>
      <c r="D17" s="72"/>
      <c r="G17" s="85"/>
      <c r="H17" s="93"/>
    </row>
    <row r="18" spans="1:8" x14ac:dyDescent="0.35">
      <c r="A18" s="72" t="s">
        <v>66</v>
      </c>
      <c r="B18" s="72" t="s">
        <v>17</v>
      </c>
      <c r="C18" s="72" t="s">
        <v>188</v>
      </c>
      <c r="D18" s="72"/>
      <c r="G18" s="85"/>
      <c r="H18" s="93"/>
    </row>
    <row r="19" spans="1:8" x14ac:dyDescent="0.35">
      <c r="A19" s="72" t="s">
        <v>97</v>
      </c>
      <c r="B19" s="72" t="s">
        <v>98</v>
      </c>
      <c r="C19" s="72" t="s">
        <v>190</v>
      </c>
      <c r="D19" s="72"/>
      <c r="G19" s="85"/>
      <c r="H19" s="93"/>
    </row>
    <row r="20" spans="1:8" x14ac:dyDescent="0.35">
      <c r="A20" s="72" t="s">
        <v>96</v>
      </c>
      <c r="B20" s="72" t="s">
        <v>95</v>
      </c>
      <c r="C20" s="72" t="s">
        <v>191</v>
      </c>
      <c r="D20" s="72"/>
      <c r="G20" s="85"/>
      <c r="H20" s="93"/>
    </row>
    <row r="21" spans="1:8" x14ac:dyDescent="0.35">
      <c r="A21" s="72" t="s">
        <v>308</v>
      </c>
      <c r="B21" s="72" t="s">
        <v>309</v>
      </c>
      <c r="C21" s="72" t="s">
        <v>194</v>
      </c>
      <c r="D21" s="72"/>
      <c r="G21" s="85"/>
      <c r="H21" s="93"/>
    </row>
    <row r="22" spans="1:8" x14ac:dyDescent="0.35">
      <c r="A22" s="141" t="s">
        <v>49</v>
      </c>
      <c r="B22" s="72" t="s">
        <v>44</v>
      </c>
      <c r="C22" s="72" t="s">
        <v>188</v>
      </c>
      <c r="D22" s="72"/>
      <c r="G22" s="85"/>
      <c r="H22" s="93"/>
    </row>
    <row r="23" spans="1:8" x14ac:dyDescent="0.35">
      <c r="A23" s="141" t="s">
        <v>49</v>
      </c>
      <c r="B23" s="72" t="s">
        <v>45</v>
      </c>
      <c r="C23" s="72" t="s">
        <v>188</v>
      </c>
      <c r="D23" s="72"/>
      <c r="G23" s="85"/>
      <c r="H23" s="93"/>
    </row>
    <row r="24" spans="1:8" x14ac:dyDescent="0.35">
      <c r="A24" s="72" t="s">
        <v>60</v>
      </c>
      <c r="B24" s="72" t="s">
        <v>28</v>
      </c>
      <c r="C24" s="72" t="s">
        <v>188</v>
      </c>
      <c r="D24" s="72"/>
      <c r="G24" s="85"/>
      <c r="H24" s="93"/>
    </row>
    <row r="25" spans="1:8" x14ac:dyDescent="0.35">
      <c r="A25" s="141" t="s">
        <v>87</v>
      </c>
      <c r="B25" s="72" t="s">
        <v>88</v>
      </c>
      <c r="C25" s="72" t="s">
        <v>88</v>
      </c>
      <c r="D25" s="72"/>
      <c r="G25" s="85"/>
      <c r="H25" s="93"/>
    </row>
    <row r="26" spans="1:8" x14ac:dyDescent="0.35">
      <c r="A26" s="141" t="s">
        <v>87</v>
      </c>
      <c r="B26" s="72" t="s">
        <v>33</v>
      </c>
      <c r="C26" s="72" t="s">
        <v>88</v>
      </c>
      <c r="D26" s="72"/>
      <c r="G26" s="85"/>
      <c r="H26" s="93"/>
    </row>
    <row r="27" spans="1:8" x14ac:dyDescent="0.35">
      <c r="A27" s="141" t="s">
        <v>58</v>
      </c>
      <c r="B27" s="72" t="s">
        <v>31</v>
      </c>
      <c r="C27" s="72" t="s">
        <v>190</v>
      </c>
      <c r="D27" s="72"/>
      <c r="G27" s="85"/>
      <c r="H27" s="93"/>
    </row>
    <row r="28" spans="1:8" x14ac:dyDescent="0.35">
      <c r="A28" s="141" t="s">
        <v>58</v>
      </c>
      <c r="B28" s="72" t="s">
        <v>32</v>
      </c>
      <c r="C28" s="72" t="s">
        <v>190</v>
      </c>
      <c r="D28" s="72"/>
      <c r="G28" s="85"/>
      <c r="H28" s="93"/>
    </row>
    <row r="29" spans="1:8" x14ac:dyDescent="0.35">
      <c r="A29" s="141" t="s">
        <v>58</v>
      </c>
      <c r="B29" s="72" t="s">
        <v>34</v>
      </c>
      <c r="C29" s="72" t="s">
        <v>190</v>
      </c>
      <c r="D29" s="72"/>
      <c r="G29" s="85"/>
      <c r="H29" s="93"/>
    </row>
    <row r="30" spans="1:8" x14ac:dyDescent="0.35">
      <c r="A30" s="72" t="s">
        <v>53</v>
      </c>
      <c r="B30" s="72" t="s">
        <v>40</v>
      </c>
      <c r="C30" s="72" t="s">
        <v>188</v>
      </c>
      <c r="D30" s="72"/>
      <c r="G30" s="93"/>
      <c r="H30" s="93"/>
    </row>
    <row r="31" spans="1:8" x14ac:dyDescent="0.35">
      <c r="A31" s="72" t="s">
        <v>72</v>
      </c>
      <c r="B31" s="72" t="s">
        <v>22</v>
      </c>
      <c r="C31" s="72" t="s">
        <v>188</v>
      </c>
      <c r="D31" s="72"/>
      <c r="G31" s="93"/>
      <c r="H31" s="93"/>
    </row>
    <row r="32" spans="1:8" x14ac:dyDescent="0.35">
      <c r="A32" s="72" t="s">
        <v>62</v>
      </c>
      <c r="B32" s="72" t="s">
        <v>26</v>
      </c>
      <c r="C32" s="72" t="s">
        <v>194</v>
      </c>
      <c r="D32" s="72"/>
      <c r="G32" s="93"/>
      <c r="H32" s="93"/>
    </row>
    <row r="33" spans="1:8" x14ac:dyDescent="0.35">
      <c r="A33" s="72" t="s">
        <v>52</v>
      </c>
      <c r="B33" s="72" t="s">
        <v>41</v>
      </c>
      <c r="C33" s="72" t="s">
        <v>188</v>
      </c>
      <c r="D33" s="72"/>
      <c r="G33" s="93"/>
      <c r="H33" s="93"/>
    </row>
    <row r="34" spans="1:8" x14ac:dyDescent="0.35">
      <c r="A34" s="72" t="s">
        <v>64</v>
      </c>
      <c r="B34" s="72" t="s">
        <v>195</v>
      </c>
      <c r="C34" s="72" t="s">
        <v>191</v>
      </c>
      <c r="D34" s="72"/>
    </row>
    <row r="35" spans="1:8" x14ac:dyDescent="0.35">
      <c r="A35" s="72" t="s">
        <v>59</v>
      </c>
      <c r="B35" s="72" t="s">
        <v>48</v>
      </c>
      <c r="C35" s="72" t="s">
        <v>188</v>
      </c>
      <c r="D35" s="72" t="s">
        <v>75</v>
      </c>
    </row>
    <row r="36" spans="1:8" x14ac:dyDescent="0.35">
      <c r="A36" s="72" t="s">
        <v>68</v>
      </c>
      <c r="B36" s="72" t="s">
        <v>19</v>
      </c>
      <c r="C36" s="72" t="s">
        <v>188</v>
      </c>
      <c r="D36" s="72"/>
    </row>
    <row r="37" spans="1:8" x14ac:dyDescent="0.35">
      <c r="A37" s="72" t="s">
        <v>56</v>
      </c>
      <c r="B37" s="72" t="s">
        <v>37</v>
      </c>
      <c r="C37" s="72" t="s">
        <v>191</v>
      </c>
      <c r="D37" s="72"/>
    </row>
    <row r="38" spans="1:8" x14ac:dyDescent="0.35">
      <c r="A38" s="72" t="s">
        <v>55</v>
      </c>
      <c r="B38" s="72" t="s">
        <v>38</v>
      </c>
      <c r="C38" s="72" t="s">
        <v>189</v>
      </c>
      <c r="D38" s="72"/>
    </row>
    <row r="39" spans="1:8" x14ac:dyDescent="0.35">
      <c r="A39" s="72" t="s">
        <v>50</v>
      </c>
      <c r="B39" s="72" t="s">
        <v>43</v>
      </c>
      <c r="C39" s="72" t="s">
        <v>188</v>
      </c>
      <c r="D39" s="72"/>
    </row>
    <row r="40" spans="1:8" x14ac:dyDescent="0.35">
      <c r="A40" s="72" t="s">
        <v>89</v>
      </c>
      <c r="B40" s="72" t="s">
        <v>90</v>
      </c>
      <c r="C40" s="72" t="s">
        <v>188</v>
      </c>
      <c r="D40" s="72"/>
    </row>
    <row r="41" spans="1:8" x14ac:dyDescent="0.35">
      <c r="A41" s="72" t="s">
        <v>73</v>
      </c>
      <c r="B41" s="72" t="s">
        <v>29</v>
      </c>
      <c r="C41" s="72" t="s">
        <v>188</v>
      </c>
      <c r="D41" s="72"/>
    </row>
    <row r="42" spans="1:8" x14ac:dyDescent="0.35">
      <c r="A42" s="72" t="s">
        <v>69</v>
      </c>
      <c r="B42" s="72" t="s">
        <v>70</v>
      </c>
      <c r="C42" s="72" t="s">
        <v>188</v>
      </c>
      <c r="D42" s="72"/>
    </row>
    <row r="43" spans="1:8" x14ac:dyDescent="0.35">
      <c r="A43" s="72" t="s">
        <v>91</v>
      </c>
      <c r="B43" s="72" t="s">
        <v>92</v>
      </c>
      <c r="C43" s="72" t="s">
        <v>188</v>
      </c>
      <c r="D43" s="72"/>
    </row>
    <row r="44" spans="1:8" x14ac:dyDescent="0.35">
      <c r="A44" s="72" t="s">
        <v>65</v>
      </c>
      <c r="B44" s="72" t="s">
        <v>21</v>
      </c>
      <c r="C44" s="72" t="s">
        <v>191</v>
      </c>
      <c r="D44" s="72"/>
    </row>
    <row r="45" spans="1:8" x14ac:dyDescent="0.35">
      <c r="A45" s="72" t="s">
        <v>80</v>
      </c>
      <c r="B45" s="72" t="s">
        <v>81</v>
      </c>
      <c r="C45" s="72" t="s">
        <v>194</v>
      </c>
      <c r="D45" s="72"/>
    </row>
    <row r="46" spans="1:8" x14ac:dyDescent="0.35">
      <c r="A46" s="72" t="s">
        <v>84</v>
      </c>
      <c r="B46" s="72" t="s">
        <v>94</v>
      </c>
      <c r="C46" s="72" t="s">
        <v>188</v>
      </c>
      <c r="D46" s="72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6328125" style="74" bestFit="1" customWidth="1"/>
    <col min="2" max="2" width="103.1796875" style="74" bestFit="1" customWidth="1"/>
    <col min="3" max="3" width="15.1796875" style="74" bestFit="1" customWidth="1"/>
    <col min="4" max="4" width="24.54296875" style="74" bestFit="1" customWidth="1"/>
    <col min="5" max="5" width="7.453125" style="74" bestFit="1" customWidth="1"/>
    <col min="6" max="6" width="7.1796875" style="74" bestFit="1" customWidth="1"/>
    <col min="7" max="8" width="6.81640625" style="74" bestFit="1" customWidth="1"/>
    <col min="9" max="9" width="12.54296875" style="74" bestFit="1" customWidth="1"/>
    <col min="10" max="10" width="9.26953125" style="74" bestFit="1" customWidth="1"/>
    <col min="11" max="11" width="16.1796875" style="74" bestFit="1" customWidth="1"/>
    <col min="12" max="12" width="30.453125" style="74" customWidth="1"/>
    <col min="13" max="13" width="9.1796875" style="74"/>
    <col min="14" max="16" width="28.1796875" style="74" customWidth="1"/>
    <col min="17" max="16384" width="9.1796875" style="74"/>
  </cols>
  <sheetData>
    <row r="1" spans="1:17" ht="15" thickBot="1" x14ac:dyDescent="0.4">
      <c r="A1" s="94" t="s">
        <v>78</v>
      </c>
      <c r="B1" s="95" t="s">
        <v>103</v>
      </c>
      <c r="C1" s="96" t="s">
        <v>10</v>
      </c>
      <c r="D1" s="96" t="s">
        <v>2</v>
      </c>
      <c r="E1" s="96" t="s">
        <v>108</v>
      </c>
      <c r="F1" s="96" t="s">
        <v>109</v>
      </c>
      <c r="G1" s="96" t="s">
        <v>110</v>
      </c>
      <c r="H1" s="96" t="s">
        <v>111</v>
      </c>
      <c r="I1" s="96" t="s">
        <v>100</v>
      </c>
      <c r="J1" s="96" t="s">
        <v>107</v>
      </c>
      <c r="K1" s="97" t="s">
        <v>9</v>
      </c>
    </row>
    <row r="2" spans="1:17" x14ac:dyDescent="0.35">
      <c r="A2" s="58">
        <v>6611942</v>
      </c>
      <c r="B2" s="75" t="s">
        <v>227</v>
      </c>
      <c r="C2" s="58">
        <v>6611942</v>
      </c>
      <c r="D2" s="73" t="s">
        <v>208</v>
      </c>
      <c r="E2" s="98">
        <v>46</v>
      </c>
      <c r="F2" s="99"/>
      <c r="G2" s="99"/>
      <c r="H2" s="99"/>
      <c r="I2" s="73" t="s">
        <v>188</v>
      </c>
      <c r="J2" s="73" t="s">
        <v>193</v>
      </c>
      <c r="K2" s="75"/>
      <c r="L2" s="62"/>
      <c r="M2" s="62"/>
      <c r="N2" s="79"/>
      <c r="O2" s="80"/>
      <c r="P2" s="80"/>
      <c r="Q2" s="78"/>
    </row>
    <row r="3" spans="1:17" x14ac:dyDescent="0.35">
      <c r="A3" s="37">
        <v>6612003</v>
      </c>
      <c r="B3" s="46" t="s">
        <v>228</v>
      </c>
      <c r="C3" s="37">
        <v>6612003</v>
      </c>
      <c r="D3" s="71" t="s">
        <v>208</v>
      </c>
      <c r="E3" s="100">
        <v>44</v>
      </c>
      <c r="F3" s="101"/>
      <c r="G3" s="101"/>
      <c r="H3" s="101"/>
      <c r="I3" s="71" t="s">
        <v>188</v>
      </c>
      <c r="J3" s="71" t="s">
        <v>193</v>
      </c>
      <c r="K3" s="46"/>
      <c r="L3" s="62"/>
      <c r="M3" s="62"/>
      <c r="N3" s="79"/>
      <c r="O3" s="80"/>
      <c r="P3" s="80"/>
      <c r="Q3" s="78"/>
    </row>
    <row r="4" spans="1:17" x14ac:dyDescent="0.35">
      <c r="A4" s="37">
        <v>6612002</v>
      </c>
      <c r="B4" s="46" t="s">
        <v>229</v>
      </c>
      <c r="C4" s="37">
        <v>6612002</v>
      </c>
      <c r="D4" s="71" t="s">
        <v>208</v>
      </c>
      <c r="E4" s="100">
        <v>20</v>
      </c>
      <c r="F4" s="101"/>
      <c r="G4" s="101"/>
      <c r="H4" s="100"/>
      <c r="I4" s="71" t="s">
        <v>188</v>
      </c>
      <c r="J4" s="71" t="s">
        <v>193</v>
      </c>
      <c r="K4" s="46"/>
      <c r="L4" s="62"/>
      <c r="M4" s="62"/>
      <c r="N4" s="79"/>
      <c r="O4" s="80"/>
      <c r="P4" s="80"/>
      <c r="Q4" s="78"/>
    </row>
    <row r="5" spans="1:17" x14ac:dyDescent="0.35">
      <c r="A5" s="37">
        <v>6607652</v>
      </c>
      <c r="B5" s="46" t="s">
        <v>246</v>
      </c>
      <c r="C5" s="37">
        <v>6607652</v>
      </c>
      <c r="D5" s="71" t="s">
        <v>209</v>
      </c>
      <c r="E5" s="100">
        <v>28</v>
      </c>
      <c r="F5" s="101"/>
      <c r="G5" s="101"/>
      <c r="H5" s="101"/>
      <c r="I5" s="71" t="s">
        <v>188</v>
      </c>
      <c r="J5" s="71" t="s">
        <v>193</v>
      </c>
      <c r="K5" s="46"/>
      <c r="L5" s="62"/>
      <c r="M5" s="62"/>
      <c r="N5" s="79"/>
      <c r="O5" s="80"/>
      <c r="P5" s="80"/>
      <c r="Q5" s="78"/>
    </row>
    <row r="6" spans="1:17" x14ac:dyDescent="0.35">
      <c r="A6" s="37">
        <v>6612041</v>
      </c>
      <c r="B6" s="46" t="s">
        <v>230</v>
      </c>
      <c r="C6" s="37">
        <v>6612041</v>
      </c>
      <c r="D6" s="71" t="s">
        <v>210</v>
      </c>
      <c r="E6" s="100">
        <v>30</v>
      </c>
      <c r="F6" s="101"/>
      <c r="G6" s="101"/>
      <c r="H6" s="100"/>
      <c r="I6" s="71" t="s">
        <v>188</v>
      </c>
      <c r="J6" s="71" t="s">
        <v>193</v>
      </c>
      <c r="K6" s="46"/>
      <c r="L6" s="62"/>
      <c r="M6" s="62"/>
      <c r="N6" s="79"/>
      <c r="O6" s="80"/>
      <c r="P6" s="80"/>
      <c r="Q6" s="78"/>
    </row>
    <row r="7" spans="1:17" x14ac:dyDescent="0.35">
      <c r="A7" s="37">
        <v>6612050</v>
      </c>
      <c r="B7" s="46" t="s">
        <v>231</v>
      </c>
      <c r="C7" s="37">
        <v>6612050</v>
      </c>
      <c r="D7" s="71" t="s">
        <v>211</v>
      </c>
      <c r="E7" s="100">
        <v>8</v>
      </c>
      <c r="F7" s="101"/>
      <c r="G7" s="101"/>
      <c r="H7" s="101"/>
      <c r="I7" s="71" t="s">
        <v>188</v>
      </c>
      <c r="J7" s="71" t="s">
        <v>193</v>
      </c>
      <c r="K7" s="46"/>
      <c r="L7" s="62"/>
      <c r="M7" s="62"/>
      <c r="N7" s="79"/>
      <c r="O7" s="80"/>
      <c r="P7" s="80"/>
      <c r="Q7" s="78"/>
    </row>
    <row r="8" spans="1:17" x14ac:dyDescent="0.35">
      <c r="A8" s="37">
        <v>6612051</v>
      </c>
      <c r="B8" s="46" t="s">
        <v>232</v>
      </c>
      <c r="C8" s="37">
        <v>6612051</v>
      </c>
      <c r="D8" s="81" t="s">
        <v>212</v>
      </c>
      <c r="E8" s="100">
        <v>6</v>
      </c>
      <c r="F8" s="101"/>
      <c r="G8" s="101"/>
      <c r="H8" s="101"/>
      <c r="I8" s="71" t="s">
        <v>188</v>
      </c>
      <c r="J8" s="71" t="s">
        <v>193</v>
      </c>
      <c r="K8" s="71" t="s">
        <v>99</v>
      </c>
      <c r="L8" s="62"/>
      <c r="M8" s="62"/>
      <c r="N8" s="79"/>
      <c r="O8" s="80"/>
      <c r="P8" s="80"/>
      <c r="Q8" s="78"/>
    </row>
    <row r="9" spans="1:17" x14ac:dyDescent="0.35">
      <c r="A9" s="37">
        <v>6612052</v>
      </c>
      <c r="B9" s="46" t="s">
        <v>233</v>
      </c>
      <c r="C9" s="37">
        <v>6612052</v>
      </c>
      <c r="D9" s="71" t="s">
        <v>212</v>
      </c>
      <c r="E9" s="100">
        <v>2</v>
      </c>
      <c r="F9" s="101"/>
      <c r="G9" s="101"/>
      <c r="H9" s="101"/>
      <c r="I9" s="71" t="s">
        <v>188</v>
      </c>
      <c r="J9" s="71" t="s">
        <v>193</v>
      </c>
      <c r="K9" s="71" t="s">
        <v>99</v>
      </c>
      <c r="L9" s="62"/>
      <c r="M9" s="62"/>
      <c r="N9" s="79"/>
      <c r="O9" s="80"/>
      <c r="P9" s="80"/>
      <c r="Q9" s="78"/>
    </row>
    <row r="10" spans="1:17" x14ac:dyDescent="0.35">
      <c r="A10" s="37">
        <v>6612053</v>
      </c>
      <c r="B10" s="46" t="s">
        <v>235</v>
      </c>
      <c r="C10" s="37">
        <v>6612053</v>
      </c>
      <c r="D10" s="71" t="s">
        <v>213</v>
      </c>
      <c r="E10" s="100">
        <v>28</v>
      </c>
      <c r="F10" s="101"/>
      <c r="G10" s="101"/>
      <c r="H10" s="100"/>
      <c r="I10" s="71" t="s">
        <v>188</v>
      </c>
      <c r="J10" s="71" t="s">
        <v>193</v>
      </c>
      <c r="K10" s="71"/>
      <c r="L10" s="62"/>
      <c r="M10" s="62"/>
      <c r="N10" s="80"/>
      <c r="O10" s="80"/>
      <c r="P10" s="80"/>
      <c r="Q10" s="78"/>
    </row>
    <row r="11" spans="1:17" x14ac:dyDescent="0.35">
      <c r="A11" s="37">
        <v>6612054</v>
      </c>
      <c r="B11" s="46" t="s">
        <v>234</v>
      </c>
      <c r="C11" s="37">
        <v>6612054</v>
      </c>
      <c r="D11" s="71" t="s">
        <v>213</v>
      </c>
      <c r="E11" s="100">
        <v>70</v>
      </c>
      <c r="F11" s="101"/>
      <c r="G11" s="101"/>
      <c r="H11" s="100"/>
      <c r="I11" s="71" t="s">
        <v>188</v>
      </c>
      <c r="J11" s="71" t="s">
        <v>193</v>
      </c>
      <c r="K11" s="71"/>
      <c r="L11" s="62"/>
      <c r="M11" s="62"/>
      <c r="N11" s="79"/>
      <c r="O11" s="80"/>
      <c r="P11" s="80"/>
      <c r="Q11" s="78"/>
    </row>
    <row r="12" spans="1:17" x14ac:dyDescent="0.35">
      <c r="A12" s="37">
        <v>6612055</v>
      </c>
      <c r="B12" s="46" t="s">
        <v>236</v>
      </c>
      <c r="C12" s="37">
        <v>6612055</v>
      </c>
      <c r="D12" s="71" t="s">
        <v>213</v>
      </c>
      <c r="E12" s="100">
        <v>74</v>
      </c>
      <c r="F12" s="101"/>
      <c r="G12" s="101"/>
      <c r="H12" s="100"/>
      <c r="I12" s="71" t="s">
        <v>188</v>
      </c>
      <c r="J12" s="71" t="s">
        <v>193</v>
      </c>
      <c r="K12" s="71"/>
      <c r="L12" s="62"/>
      <c r="M12" s="62"/>
      <c r="N12" s="80"/>
      <c r="O12" s="80"/>
      <c r="P12" s="80"/>
      <c r="Q12" s="78"/>
    </row>
    <row r="13" spans="1:17" x14ac:dyDescent="0.35">
      <c r="A13" s="37">
        <v>6612056</v>
      </c>
      <c r="B13" s="46" t="s">
        <v>237</v>
      </c>
      <c r="C13" s="37">
        <v>6612056</v>
      </c>
      <c r="D13" s="71" t="s">
        <v>213</v>
      </c>
      <c r="E13" s="100">
        <v>48</v>
      </c>
      <c r="F13" s="101"/>
      <c r="G13" s="101"/>
      <c r="H13" s="101"/>
      <c r="I13" s="71" t="s">
        <v>188</v>
      </c>
      <c r="J13" s="71" t="s">
        <v>193</v>
      </c>
      <c r="K13" s="71"/>
      <c r="L13" s="62"/>
      <c r="M13" s="62"/>
      <c r="N13" s="79"/>
      <c r="O13" s="80"/>
      <c r="P13" s="80"/>
      <c r="Q13" s="78"/>
    </row>
    <row r="14" spans="1:17" x14ac:dyDescent="0.35">
      <c r="A14" s="37">
        <v>6612057</v>
      </c>
      <c r="B14" s="71" t="s">
        <v>245</v>
      </c>
      <c r="C14" s="37">
        <v>6612057</v>
      </c>
      <c r="D14" s="71" t="s">
        <v>213</v>
      </c>
      <c r="E14" s="100">
        <v>66</v>
      </c>
      <c r="F14" s="101"/>
      <c r="G14" s="101"/>
      <c r="H14" s="100"/>
      <c r="I14" s="71" t="s">
        <v>188</v>
      </c>
      <c r="J14" s="71" t="s">
        <v>193</v>
      </c>
      <c r="K14" s="71"/>
      <c r="L14" s="62"/>
      <c r="M14" s="62"/>
      <c r="N14" s="80"/>
      <c r="O14" s="80"/>
      <c r="P14" s="80"/>
      <c r="Q14" s="78"/>
    </row>
    <row r="15" spans="1:17" x14ac:dyDescent="0.35">
      <c r="A15" s="37">
        <v>6612058</v>
      </c>
      <c r="B15" s="46" t="s">
        <v>238</v>
      </c>
      <c r="C15" s="37">
        <v>6612058</v>
      </c>
      <c r="D15" s="71" t="s">
        <v>213</v>
      </c>
      <c r="E15" s="100">
        <v>136</v>
      </c>
      <c r="F15" s="101"/>
      <c r="G15" s="101"/>
      <c r="H15" s="100"/>
      <c r="I15" s="71" t="s">
        <v>188</v>
      </c>
      <c r="J15" s="71" t="s">
        <v>193</v>
      </c>
      <c r="K15" s="71"/>
      <c r="L15" s="62"/>
      <c r="M15" s="62"/>
      <c r="N15" s="80"/>
      <c r="O15" s="80"/>
      <c r="P15" s="80"/>
      <c r="Q15" s="78"/>
    </row>
    <row r="16" spans="1:17" x14ac:dyDescent="0.35">
      <c r="A16" s="37">
        <v>6612059</v>
      </c>
      <c r="B16" s="46" t="s">
        <v>241</v>
      </c>
      <c r="C16" s="37">
        <v>6612059</v>
      </c>
      <c r="D16" s="71" t="s">
        <v>214</v>
      </c>
      <c r="E16" s="100">
        <v>4</v>
      </c>
      <c r="F16" s="101"/>
      <c r="G16" s="101"/>
      <c r="H16" s="101"/>
      <c r="I16" s="71" t="s">
        <v>188</v>
      </c>
      <c r="J16" s="71" t="s">
        <v>193</v>
      </c>
      <c r="K16" s="71"/>
      <c r="L16" s="62"/>
      <c r="M16" s="62"/>
      <c r="N16" s="80"/>
      <c r="O16" s="80"/>
      <c r="P16" s="80"/>
      <c r="Q16" s="78"/>
    </row>
    <row r="17" spans="1:17" x14ac:dyDescent="0.35">
      <c r="A17" s="37">
        <v>6612060</v>
      </c>
      <c r="B17" s="71" t="s">
        <v>240</v>
      </c>
      <c r="C17" s="37">
        <v>6612060</v>
      </c>
      <c r="D17" s="71" t="s">
        <v>214</v>
      </c>
      <c r="E17" s="100">
        <v>8</v>
      </c>
      <c r="F17" s="101"/>
      <c r="G17" s="101"/>
      <c r="H17" s="101"/>
      <c r="I17" s="71" t="s">
        <v>188</v>
      </c>
      <c r="J17" s="71" t="s">
        <v>193</v>
      </c>
      <c r="K17" s="71"/>
      <c r="L17" s="62"/>
      <c r="M17" s="62"/>
      <c r="N17" s="79"/>
      <c r="O17" s="80"/>
      <c r="P17" s="80"/>
      <c r="Q17" s="78"/>
    </row>
    <row r="18" spans="1:17" x14ac:dyDescent="0.35">
      <c r="A18" s="37">
        <v>6612061</v>
      </c>
      <c r="B18" s="46" t="s">
        <v>239</v>
      </c>
      <c r="C18" s="37">
        <v>6612061</v>
      </c>
      <c r="D18" s="71" t="s">
        <v>210</v>
      </c>
      <c r="E18" s="100">
        <v>30</v>
      </c>
      <c r="F18" s="102"/>
      <c r="G18" s="102"/>
      <c r="H18" s="101"/>
      <c r="I18" s="71" t="s">
        <v>188</v>
      </c>
      <c r="J18" s="71" t="s">
        <v>193</v>
      </c>
      <c r="K18" s="71"/>
      <c r="L18" s="62"/>
      <c r="M18" s="62"/>
      <c r="N18" s="79"/>
      <c r="O18" s="80"/>
      <c r="P18" s="80"/>
      <c r="Q18" s="78"/>
    </row>
    <row r="19" spans="1:17" x14ac:dyDescent="0.35">
      <c r="A19" s="37">
        <v>6485487</v>
      </c>
      <c r="B19" s="82" t="s">
        <v>244</v>
      </c>
      <c r="C19" s="83" t="s">
        <v>202</v>
      </c>
      <c r="D19" s="71" t="s">
        <v>1</v>
      </c>
      <c r="E19" s="103">
        <v>105</v>
      </c>
      <c r="F19" s="104">
        <v>19.05</v>
      </c>
      <c r="G19" s="104">
        <v>13.67</v>
      </c>
      <c r="H19" s="103">
        <v>2.54</v>
      </c>
      <c r="I19" s="71" t="s">
        <v>188</v>
      </c>
      <c r="J19" s="71" t="s">
        <v>193</v>
      </c>
      <c r="K19" s="82"/>
      <c r="L19" s="62"/>
      <c r="M19" s="62"/>
      <c r="N19" s="79"/>
      <c r="O19" s="80"/>
      <c r="P19" s="80"/>
      <c r="Q19" s="78"/>
    </row>
    <row r="20" spans="1:17" x14ac:dyDescent="0.35">
      <c r="A20" s="37">
        <v>6542513</v>
      </c>
      <c r="B20" s="71" t="s">
        <v>242</v>
      </c>
      <c r="C20" s="37" t="s">
        <v>205</v>
      </c>
      <c r="D20" s="71" t="s">
        <v>1</v>
      </c>
      <c r="E20" s="100">
        <v>108</v>
      </c>
      <c r="F20" s="102">
        <v>8</v>
      </c>
      <c r="G20" s="102">
        <v>5.5</v>
      </c>
      <c r="H20" s="101">
        <v>2</v>
      </c>
      <c r="I20" s="71" t="s">
        <v>188</v>
      </c>
      <c r="J20" s="71" t="s">
        <v>193</v>
      </c>
      <c r="K20" s="71"/>
      <c r="L20" s="62"/>
      <c r="M20" s="62"/>
      <c r="N20" s="79"/>
      <c r="O20" s="80"/>
      <c r="P20" s="80"/>
      <c r="Q20" s="78"/>
    </row>
    <row r="21" spans="1:17" x14ac:dyDescent="0.35">
      <c r="A21" s="37">
        <v>6542513</v>
      </c>
      <c r="B21" s="71" t="s">
        <v>243</v>
      </c>
      <c r="C21" s="47" t="s">
        <v>207</v>
      </c>
      <c r="D21" s="71" t="s">
        <v>1</v>
      </c>
      <c r="E21" s="100">
        <v>85</v>
      </c>
      <c r="F21" s="102">
        <v>8</v>
      </c>
      <c r="G21" s="102">
        <v>5.5</v>
      </c>
      <c r="H21" s="101">
        <v>2</v>
      </c>
      <c r="I21" s="71" t="s">
        <v>188</v>
      </c>
      <c r="J21" s="71" t="s">
        <v>193</v>
      </c>
      <c r="K21" s="38"/>
      <c r="L21" s="62"/>
      <c r="M21" s="62"/>
      <c r="N21" s="80"/>
      <c r="O21" s="80"/>
      <c r="P21" s="80"/>
      <c r="Q21" s="78"/>
    </row>
    <row r="22" spans="1:17" x14ac:dyDescent="0.35">
      <c r="A22" s="37"/>
      <c r="B22" s="71" t="s">
        <v>215</v>
      </c>
      <c r="C22" s="47" t="s">
        <v>216</v>
      </c>
      <c r="D22" s="71" t="s">
        <v>217</v>
      </c>
      <c r="E22" s="100">
        <v>20</v>
      </c>
      <c r="F22" s="102"/>
      <c r="G22" s="102"/>
      <c r="H22" s="100"/>
      <c r="I22" s="71"/>
      <c r="J22" s="71"/>
      <c r="K22" s="46"/>
      <c r="L22" s="62"/>
      <c r="M22" s="62"/>
      <c r="N22" s="80"/>
      <c r="O22" s="80"/>
      <c r="P22" s="80"/>
      <c r="Q22" s="78"/>
    </row>
    <row r="23" spans="1:17" x14ac:dyDescent="0.35">
      <c r="A23" s="37">
        <v>6591636</v>
      </c>
      <c r="B23" s="71" t="s">
        <v>218</v>
      </c>
      <c r="C23" s="47" t="s">
        <v>219</v>
      </c>
      <c r="D23" s="71" t="s">
        <v>1</v>
      </c>
      <c r="E23" s="100">
        <v>20.59</v>
      </c>
      <c r="F23" s="102">
        <v>7.5</v>
      </c>
      <c r="G23" s="102">
        <v>4</v>
      </c>
      <c r="H23" s="100">
        <v>1.5</v>
      </c>
      <c r="I23" s="71" t="s">
        <v>188</v>
      </c>
      <c r="J23" s="71" t="s">
        <v>203</v>
      </c>
      <c r="K23" s="46"/>
      <c r="L23" s="62"/>
      <c r="M23" s="62"/>
      <c r="N23" s="80"/>
      <c r="O23" s="80"/>
      <c r="P23" s="80"/>
      <c r="Q23" s="78"/>
    </row>
    <row r="24" spans="1:17" x14ac:dyDescent="0.35">
      <c r="A24" s="37">
        <v>6608628</v>
      </c>
      <c r="B24" s="72" t="s">
        <v>220</v>
      </c>
      <c r="C24" s="37" t="s">
        <v>221</v>
      </c>
      <c r="D24" s="71" t="s">
        <v>1</v>
      </c>
      <c r="E24" s="105">
        <v>112.48</v>
      </c>
      <c r="F24" s="102">
        <v>10.199999999999999</v>
      </c>
      <c r="G24" s="102">
        <v>9.32</v>
      </c>
      <c r="H24" s="100">
        <v>2.1</v>
      </c>
      <c r="I24" s="71" t="s">
        <v>188</v>
      </c>
      <c r="J24" s="71" t="s">
        <v>203</v>
      </c>
      <c r="K24" s="46"/>
      <c r="L24" s="62"/>
      <c r="M24" s="62"/>
      <c r="N24" s="80"/>
      <c r="O24" s="80"/>
      <c r="P24" s="80"/>
      <c r="Q24" s="78"/>
    </row>
    <row r="25" spans="1:17" x14ac:dyDescent="0.35">
      <c r="A25" s="37"/>
      <c r="B25" s="71" t="s">
        <v>222</v>
      </c>
      <c r="C25" s="37" t="s">
        <v>223</v>
      </c>
      <c r="D25" s="71" t="s">
        <v>224</v>
      </c>
      <c r="E25" s="100">
        <v>65</v>
      </c>
      <c r="F25" s="102">
        <v>9</v>
      </c>
      <c r="G25" s="102">
        <v>5.5</v>
      </c>
      <c r="H25" s="100">
        <v>2</v>
      </c>
      <c r="I25" s="71" t="s">
        <v>188</v>
      </c>
      <c r="J25" s="71" t="s">
        <v>203</v>
      </c>
      <c r="K25" s="71"/>
    </row>
    <row r="26" spans="1:17" x14ac:dyDescent="0.35">
      <c r="A26" s="37"/>
      <c r="B26" s="49" t="s">
        <v>225</v>
      </c>
      <c r="C26" s="37" t="s">
        <v>226</v>
      </c>
      <c r="D26" s="71" t="s">
        <v>1</v>
      </c>
      <c r="E26" s="100">
        <v>52</v>
      </c>
      <c r="F26" s="102">
        <v>6.35</v>
      </c>
      <c r="G26" s="102">
        <v>3.6</v>
      </c>
      <c r="H26" s="100">
        <v>2.21</v>
      </c>
      <c r="I26" s="71" t="s">
        <v>188</v>
      </c>
      <c r="J26" s="71" t="s">
        <v>203</v>
      </c>
      <c r="K26" s="71"/>
    </row>
    <row r="27" spans="1:17" x14ac:dyDescent="0.35">
      <c r="A27" s="37"/>
      <c r="B27" s="71" t="s">
        <v>247</v>
      </c>
      <c r="C27" s="37" t="s">
        <v>248</v>
      </c>
      <c r="D27" s="71" t="s">
        <v>1</v>
      </c>
      <c r="E27" s="100">
        <v>68</v>
      </c>
      <c r="F27" s="100">
        <v>12.7</v>
      </c>
      <c r="G27" s="100">
        <v>13.14</v>
      </c>
      <c r="H27" s="100">
        <v>2.54</v>
      </c>
      <c r="I27" s="71" t="s">
        <v>188</v>
      </c>
      <c r="J27" s="71" t="s">
        <v>203</v>
      </c>
      <c r="K27" s="7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6953125" defaultRowHeight="14.5" x14ac:dyDescent="0.35"/>
  <cols>
    <col min="1" max="1" width="6.6328125" bestFit="1" customWidth="1"/>
  </cols>
  <sheetData>
    <row r="1" spans="1:37" x14ac:dyDescent="0.35">
      <c r="A1" s="147" t="s">
        <v>157</v>
      </c>
      <c r="B1" s="147" t="s">
        <v>158</v>
      </c>
      <c r="C1" s="147" t="s">
        <v>159</v>
      </c>
      <c r="D1" s="147" t="s">
        <v>160</v>
      </c>
      <c r="E1" s="147" t="s">
        <v>161</v>
      </c>
      <c r="F1" s="147" t="s">
        <v>162</v>
      </c>
      <c r="G1" s="147" t="s">
        <v>163</v>
      </c>
      <c r="H1" s="147" t="s">
        <v>164</v>
      </c>
      <c r="I1" s="147" t="s">
        <v>165</v>
      </c>
      <c r="J1" s="147" t="s">
        <v>166</v>
      </c>
      <c r="K1" s="147" t="s">
        <v>167</v>
      </c>
      <c r="L1" s="147" t="s">
        <v>168</v>
      </c>
      <c r="M1" s="147" t="s">
        <v>169</v>
      </c>
      <c r="N1" s="147" t="s">
        <v>170</v>
      </c>
      <c r="O1" s="147" t="s">
        <v>171</v>
      </c>
      <c r="P1" s="147" t="s">
        <v>172</v>
      </c>
      <c r="Q1" s="147" t="s">
        <v>173</v>
      </c>
      <c r="R1" s="147" t="s">
        <v>174</v>
      </c>
      <c r="S1" s="147" t="s">
        <v>175</v>
      </c>
      <c r="T1" s="147" t="s">
        <v>176</v>
      </c>
      <c r="U1" s="147" t="s">
        <v>177</v>
      </c>
      <c r="V1" s="147" t="s">
        <v>178</v>
      </c>
      <c r="W1" s="147" t="s">
        <v>179</v>
      </c>
      <c r="X1" s="147" t="s">
        <v>180</v>
      </c>
      <c r="Y1" s="147" t="s">
        <v>181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</row>
    <row r="2" spans="1:37" s="11" customFormat="1" x14ac:dyDescent="0.35">
      <c r="B2" s="11" t="str">
        <f>'Kit List'!$C$4</f>
        <v>ADC3663EVM</v>
      </c>
      <c r="C2" s="11">
        <f ca="1">SUM($O$15:$O$40)</f>
        <v>537.79999999999995</v>
      </c>
      <c r="D2" s="11" t="str">
        <f ca="1">VLOOKUP("BOX",$B$15:$O$40,5,0)</f>
        <v>TIBX003</v>
      </c>
      <c r="E2" s="8"/>
      <c r="F2" s="8"/>
      <c r="G2" s="11">
        <f ca="1">SUMIF($L$15:$L$40, "Label", $O$15:$O$40)+SUMIF($L$15:$L$40, "Paper/ Cardstock", $O$15:$O$40)</f>
        <v>30</v>
      </c>
      <c r="H2" s="11">
        <f ca="1">SUMIF($M$15:$M$40, "Bag, ESD", $D$15:$D$40)</f>
        <v>1</v>
      </c>
      <c r="I2" s="9">
        <f ca="1">$H$2*4</f>
        <v>4</v>
      </c>
      <c r="J2" s="11">
        <f ca="1">SUMIF($B$15:$B$40, "FM", $O$15:$O$40)</f>
        <v>32</v>
      </c>
      <c r="K2" s="11">
        <f ca="1">SUMIF($B$15:$B$40, "CD", $D$15:$D$40)</f>
        <v>0</v>
      </c>
      <c r="L2" s="9">
        <f ca="1">$K$2*16.5</f>
        <v>0</v>
      </c>
      <c r="M2" s="11">
        <f ca="1">SUMIF($B$15:$B$40, "CDJ", $D$15:$D$40)</f>
        <v>0</v>
      </c>
      <c r="N2" s="9">
        <f ca="1">$M$2*70</f>
        <v>0</v>
      </c>
      <c r="O2" s="11">
        <f ca="1">SUMIF($L$15:$L$40, "EEE", $O$15:$O$40)-$I$2</f>
        <v>245</v>
      </c>
      <c r="P2" s="11">
        <f ca="1">SUMIF($B$15:$B$40, "PCB",  $D$15:$D$40) + SUMIF($B$15:$B$40, "PTNR",  $D$15:$D$40)</f>
        <v>1</v>
      </c>
      <c r="Q2" s="11">
        <f ca="1">SUMIF($B$15:$B$40, "SD", $D$15:$D$40)</f>
        <v>0</v>
      </c>
      <c r="R2" s="9">
        <f ca="1">$Q$2*2</f>
        <v>0</v>
      </c>
      <c r="S2" s="11">
        <f ca="1">SUMIF($B$15:$B$40, "EB", $O$15:$O$40)</f>
        <v>0</v>
      </c>
      <c r="T2" s="11">
        <f ca="1">SUMIF($B$15:$B$40, "CBL", $D$15:$D$40)</f>
        <v>0</v>
      </c>
      <c r="U2" s="11">
        <f ca="1">SUMIF($B$15:$B$40, "CBL", $O$15:$O$40)</f>
        <v>114</v>
      </c>
      <c r="V2" s="11">
        <f ca="1">IFERROR((VLOOKUP("BAT",$B$15:$O$40,5,0)),0)</f>
        <v>0</v>
      </c>
      <c r="W2" s="11">
        <f ca="1">SUMIF($B$15:$B$40, "BAT", $D$15:$D$40)</f>
        <v>0</v>
      </c>
      <c r="X2" s="11">
        <f ca="1">IFERROR((VLOOKUP("BAT",$B$15:$O$40,13,0)),0)</f>
        <v>0</v>
      </c>
      <c r="Y2" s="9">
        <f ca="1">SUMIF(L15:$L$40, "Steel", O15:$O$40)</f>
        <v>0</v>
      </c>
    </row>
    <row r="3" spans="1:37" x14ac:dyDescent="0.35">
      <c r="E3" s="10" t="s">
        <v>196</v>
      </c>
      <c r="F3" s="10" t="s">
        <v>196</v>
      </c>
    </row>
    <row r="4" spans="1:37" x14ac:dyDescent="0.35">
      <c r="G4" s="27"/>
      <c r="P4" s="27"/>
      <c r="S4" s="27"/>
      <c r="Y4" s="27"/>
    </row>
    <row r="7" spans="1:37" x14ac:dyDescent="0.35">
      <c r="O7" s="7" t="s">
        <v>182</v>
      </c>
    </row>
    <row r="8" spans="1:37" x14ac:dyDescent="0.35">
      <c r="O8" s="7" t="s">
        <v>183</v>
      </c>
    </row>
    <row r="9" spans="1:37" x14ac:dyDescent="0.35">
      <c r="O9" s="7" t="s">
        <v>184</v>
      </c>
    </row>
    <row r="10" spans="1:37" x14ac:dyDescent="0.35">
      <c r="O10" s="7" t="s">
        <v>185</v>
      </c>
    </row>
    <row r="11" spans="1:37" x14ac:dyDescent="0.35">
      <c r="C11" s="11"/>
      <c r="D11" s="11"/>
      <c r="O11" s="7" t="s">
        <v>186</v>
      </c>
    </row>
    <row r="12" spans="1:37" s="7" customFormat="1" ht="26" x14ac:dyDescent="0.6">
      <c r="A12"/>
      <c r="B12" s="134" t="s">
        <v>298</v>
      </c>
      <c r="C12" s="88"/>
      <c r="D12" s="88"/>
      <c r="E12"/>
      <c r="F12"/>
      <c r="G12"/>
      <c r="H12"/>
      <c r="I12"/>
      <c r="J12"/>
    </row>
    <row r="13" spans="1:37" ht="15" thickBot="1" x14ac:dyDescent="0.4"/>
    <row r="14" spans="1:37" s="129" customFormat="1" ht="26" x14ac:dyDescent="0.35">
      <c r="A14" s="125" t="s">
        <v>292</v>
      </c>
      <c r="B14" s="126" t="s">
        <v>187</v>
      </c>
      <c r="C14" s="127" t="s">
        <v>4</v>
      </c>
      <c r="D14" s="87" t="s">
        <v>3</v>
      </c>
      <c r="E14" s="87" t="s">
        <v>0</v>
      </c>
      <c r="F14" s="87" t="s">
        <v>10</v>
      </c>
      <c r="G14" s="87" t="s">
        <v>2</v>
      </c>
      <c r="H14" s="87" t="s">
        <v>108</v>
      </c>
      <c r="I14" s="87" t="s">
        <v>109</v>
      </c>
      <c r="J14" s="87" t="s">
        <v>110</v>
      </c>
      <c r="K14" s="87" t="s">
        <v>111</v>
      </c>
      <c r="L14" s="87" t="s">
        <v>100</v>
      </c>
      <c r="M14" s="87" t="s">
        <v>107</v>
      </c>
      <c r="N14" s="128" t="s">
        <v>9</v>
      </c>
      <c r="O14" s="128" t="s">
        <v>297</v>
      </c>
    </row>
    <row r="15" spans="1:37" x14ac:dyDescent="0.35">
      <c r="A15" s="51">
        <v>1</v>
      </c>
      <c r="B15" s="148" t="str">
        <f ca="1">LEFT(C15,(MIN(FIND({0,1,2,3,4,5,6,7,8,9},C15&amp;"0123456789"))-1))</f>
        <v>PCB</v>
      </c>
      <c r="C15" s="149" t="str">
        <f ca="1">OFFSET('Kit List'!$A$6, $A15, 0)</f>
        <v>PCB1</v>
      </c>
      <c r="D15" s="149">
        <f ca="1">OFFSET('Kit List'!$B$6, $A15, 0)</f>
        <v>1</v>
      </c>
      <c r="E15" s="149" t="str">
        <f ca="1">OFFSET('Kit List'!$C$6, $A15, 0)</f>
        <v>DAC3663EVM; Circuit Board; XXXXXXX</v>
      </c>
      <c r="F15" s="149" t="str">
        <f ca="1">OFFSET('Kit List'!$D$6, $A15, 0)</f>
        <v>DCXXX</v>
      </c>
      <c r="G15" s="149" t="str">
        <f ca="1">OFFSET('Kit List'!$E$6, $A15, 0)</f>
        <v>Texas Instruments</v>
      </c>
      <c r="H15" s="149">
        <f ca="1">OFFSET('Kit List'!$F$6, $A15, 0)</f>
        <v>135</v>
      </c>
      <c r="I15" s="149">
        <f ca="1">OFFSET('Kit List'!$G$6, $A15, 0)</f>
        <v>3.9</v>
      </c>
      <c r="J15" s="149">
        <f ca="1">OFFSET('Kit List'!$H$6, $A15, 0)</f>
        <v>2.7160000000000002</v>
      </c>
      <c r="K15" s="149">
        <f ca="1">OFFSET('Kit List'!$I$6, $A15, 0)</f>
        <v>1.5</v>
      </c>
      <c r="L15" s="149" t="str">
        <f ca="1">IFERROR((VLOOKUP(B15,'Kit Item Reference Designators'!$A:$C,3,0)),"")</f>
        <v>EEE</v>
      </c>
      <c r="M15" s="149" t="str">
        <f ca="1">OFFSET('Kit List'!$K$6, $A15, 0)</f>
        <v>Bag, ESD</v>
      </c>
      <c r="N15" s="149">
        <f ca="1">OFFSET('Kit List'!$L$6, $A15, 0)</f>
        <v>0</v>
      </c>
      <c r="O15" s="149">
        <f ca="1">D15*H15</f>
        <v>135</v>
      </c>
    </row>
    <row r="16" spans="1:37" x14ac:dyDescent="0.35">
      <c r="A16" s="51">
        <v>2</v>
      </c>
      <c r="B16" s="148" t="str">
        <f ca="1">LEFT(C16,(MIN(FIND({0,1,2,3,4,5,6,7,8,9},C16&amp;"0123456789"))-1))</f>
        <v>CBL</v>
      </c>
      <c r="C16" s="149" t="str">
        <f ca="1">OFFSET('Kit List'!$A$6, $A16, 0)</f>
        <v>CBL1</v>
      </c>
      <c r="D16" s="149" t="str">
        <f ca="1">OFFSET('Kit List'!$B$6, $A16, 0)</f>
        <v>1</v>
      </c>
      <c r="E16" s="149" t="str">
        <f ca="1">OFFSET('Kit List'!$C$6, $A16, 0)</f>
        <v>CBL USB2.0 A PLUG TO C PLG 3.28'</v>
      </c>
      <c r="F16" s="149" t="str">
        <f ca="1">OFFSET('Kit List'!$D$6, $A16, 0)</f>
        <v>CBL-UA-UC-10WP</v>
      </c>
      <c r="G16" s="149" t="str">
        <f ca="1">OFFSET('Kit List'!$E$6, $A16, 0)</f>
        <v>Same Sky</v>
      </c>
      <c r="H16" s="149" t="str">
        <f ca="1">OFFSET('Kit List'!$F$6, $A16, 0)</f>
        <v>44</v>
      </c>
      <c r="I16" s="149">
        <f ca="1">OFFSET('Kit List'!$G$6, $A16, 0)</f>
        <v>0</v>
      </c>
      <c r="J16" s="149">
        <f ca="1">OFFSET('Kit List'!$H$6, $A16, 0)</f>
        <v>0</v>
      </c>
      <c r="K16" s="149">
        <f ca="1">OFFSET('Kit List'!$I$6, $A16, 0)</f>
        <v>0</v>
      </c>
      <c r="L16" s="149" t="str">
        <f ca="1">IFERROR((VLOOKUP(B16,'Kit Item Reference Designators'!$A:$C,3,0)),"")</f>
        <v>EEE</v>
      </c>
      <c r="M16" s="149">
        <f ca="1">OFFSET('Kit List'!$K$6, $A16, 0)</f>
        <v>0</v>
      </c>
      <c r="N16" s="149">
        <f ca="1">OFFSET('Kit List'!$L$6, $A16, 0)</f>
        <v>0</v>
      </c>
      <c r="O16" s="149">
        <f t="shared" ref="O16:O40" ca="1" si="0">D16*H16</f>
        <v>44</v>
      </c>
    </row>
    <row r="17" spans="1:15" x14ac:dyDescent="0.35">
      <c r="A17" s="51">
        <v>3</v>
      </c>
      <c r="B17" s="148" t="str">
        <f ca="1">LEFT(C17,(MIN(FIND({0,1,2,3,4,5,6,7,8,9},C17&amp;"0123456789"))-1))</f>
        <v>CBL</v>
      </c>
      <c r="C17" s="149" t="str">
        <f ca="1">OFFSET('Kit List'!$A$6, $A17, 0)</f>
        <v>CBL2</v>
      </c>
      <c r="D17" s="149" t="str">
        <f ca="1">OFFSET('Kit List'!$B$6, $A17, 0)</f>
        <v>1</v>
      </c>
      <c r="E17" s="149" t="str">
        <f ca="1">OFFSET('Kit List'!$C$6, $A17, 0)</f>
        <v>10-01776; Cable ASSY STR PLUG 2.1MM 6\' 18AWG; CDDS 6612003</v>
      </c>
      <c r="F17" s="149" t="str">
        <f ca="1">OFFSET('Kit List'!$D$6, $A17, 0)</f>
        <v>10-01776</v>
      </c>
      <c r="G17" s="149" t="str">
        <f ca="1">OFFSET('Kit List'!$E$6, $A17, 0)</f>
        <v>Tensility International Corp.</v>
      </c>
      <c r="H17" s="149" t="str">
        <f ca="1">OFFSET('Kit List'!$F$6, $A17, 0)</f>
        <v>70</v>
      </c>
      <c r="I17" s="149">
        <f ca="1">OFFSET('Kit List'!$G$6, $A17, 0)</f>
        <v>0</v>
      </c>
      <c r="J17" s="149">
        <f ca="1">OFFSET('Kit List'!$H$6, $A17, 0)</f>
        <v>0</v>
      </c>
      <c r="K17" s="149">
        <f ca="1">OFFSET('Kit List'!$I$6, $A17, 0)</f>
        <v>0</v>
      </c>
      <c r="L17" s="149" t="str">
        <f ca="1">IFERROR((VLOOKUP(B17,'Kit Item Reference Designators'!$A:$C,3,0)),"")</f>
        <v>EEE</v>
      </c>
      <c r="M17" s="149">
        <f ca="1">OFFSET('Kit List'!$K$6, $A17, 0)</f>
        <v>0</v>
      </c>
      <c r="N17" s="149">
        <f ca="1">OFFSET('Kit List'!$L$6, $A17, 0)</f>
        <v>0</v>
      </c>
      <c r="O17" s="149">
        <f t="shared" ca="1" si="0"/>
        <v>70</v>
      </c>
    </row>
    <row r="18" spans="1:15" x14ac:dyDescent="0.35">
      <c r="A18" s="51">
        <v>4</v>
      </c>
      <c r="B18" s="148" t="str">
        <f ca="1">LEFT(C18,(MIN(FIND({0,1,2,3,4,5,6,7,8,9},C18&amp;"0123456789"))-1))</f>
        <v>BOX</v>
      </c>
      <c r="C18" s="149" t="str">
        <f ca="1">OFFSET('Kit List'!$A$6, $A18, 0)</f>
        <v>BOX1</v>
      </c>
      <c r="D18" s="149">
        <f ca="1">OFFSET('Kit List'!$B$6, $A18, 0)</f>
        <v>1</v>
      </c>
      <c r="E18" s="149" t="str">
        <f ca="1">OFFSET('Kit List'!$C$6, $A18, 0)</f>
        <v>Box, Cardboard</v>
      </c>
      <c r="F18" s="149" t="str">
        <f ca="1">OFFSET('Kit List'!$D$6, $A18, 0)</f>
        <v>TIBX003</v>
      </c>
      <c r="G18" s="149" t="str">
        <f ca="1">OFFSET('Kit List'!$E$6, $A18, 0)</f>
        <v>Leaman</v>
      </c>
      <c r="H18" s="149" t="str">
        <f ca="1">OFFSET('Kit List'!$F$6, $A18, 0)</f>
        <v>226.8</v>
      </c>
      <c r="I18" s="149" t="str">
        <f ca="1">OFFSET('Kit List'!$G$6, $A18, 0)</f>
        <v>13</v>
      </c>
      <c r="J18" s="149" t="str">
        <f ca="1">OFFSET('Kit List'!$H$6, $A18, 0)</f>
        <v>9.375</v>
      </c>
      <c r="K18" s="149" t="str">
        <f ca="1">OFFSET('Kit List'!$I$6, $A18, 0)</f>
        <v>4</v>
      </c>
      <c r="L18" s="149" t="str">
        <f ca="1">IFERROR((VLOOKUP(B18,'Kit Item Reference Designators'!$A:$C,3,0)),"")</f>
        <v>Cardboard</v>
      </c>
      <c r="M18" s="149" t="str">
        <f ca="1">OFFSET('Kit List'!$K$6, $A18, 0)</f>
        <v>Box</v>
      </c>
      <c r="N18" s="149" t="str">
        <f ca="1">OFFSET('Kit List'!$L$6, $A18, 0)</f>
        <v xml:space="preserve"> </v>
      </c>
      <c r="O18" s="149">
        <f t="shared" ca="1" si="0"/>
        <v>226.8</v>
      </c>
    </row>
    <row r="19" spans="1:15" x14ac:dyDescent="0.35">
      <c r="A19" s="51">
        <v>5</v>
      </c>
      <c r="B19" s="148" t="str">
        <f ca="1">LEFT(C19,(MIN(FIND({0,1,2,3,4,5,6,7,8,9},C19&amp;"0123456789"))-1))</f>
        <v>FM</v>
      </c>
      <c r="C19" s="149" t="str">
        <f ca="1">OFFSET('Kit List'!$A$6, $A19, 0)</f>
        <v>FM1</v>
      </c>
      <c r="D19" s="149">
        <f ca="1">OFFSET('Kit List'!$B$6, $A19, 0)</f>
        <v>2</v>
      </c>
      <c r="E19" s="149" t="str">
        <f ca="1">OFFSET('Kit List'!$C$6, $A19, 0)</f>
        <v>Foam, Antistatic</v>
      </c>
      <c r="F19" s="149" t="str">
        <f ca="1">OFFSET('Kit List'!$D$6, $A19, 0)</f>
        <v>TIFM001</v>
      </c>
      <c r="G19" s="149" t="str">
        <f ca="1">OFFSET('Kit List'!$E$6, $A19, 0)</f>
        <v>Leaman</v>
      </c>
      <c r="H19" s="149" t="str">
        <f ca="1">OFFSET('Kit List'!$F$6, $A19, 0)</f>
        <v>16</v>
      </c>
      <c r="I19" s="149" t="str">
        <f ca="1">OFFSET('Kit List'!$G$6, $A19, 0)</f>
        <v>9.0625</v>
      </c>
      <c r="J19" s="149" t="str">
        <f ca="1">OFFSET('Kit List'!$H$6, $A19, 0)</f>
        <v>6.75</v>
      </c>
      <c r="K19" s="149" t="str">
        <f ca="1">OFFSET('Kit List'!$I$6, $A19, 0)</f>
        <v>1</v>
      </c>
      <c r="L19" s="149" t="str">
        <f ca="1">IFERROR((VLOOKUP(B19,'Kit Item Reference Designators'!$A:$C,3,0)),"")</f>
        <v>Plastic</v>
      </c>
      <c r="M19" s="149" t="str">
        <f ca="1">OFFSET('Kit List'!$K$6, $A19, 0)</f>
        <v>Foam</v>
      </c>
      <c r="N19" s="149">
        <f ca="1">OFFSET('Kit List'!$L$6, $A19, 0)</f>
        <v>0</v>
      </c>
      <c r="O19" s="149">
        <f t="shared" ca="1" si="0"/>
        <v>32</v>
      </c>
    </row>
    <row r="20" spans="1:15" x14ac:dyDescent="0.35">
      <c r="A20" s="51">
        <v>6</v>
      </c>
      <c r="B20" s="148" t="str">
        <f ca="1">LEFT(C20,(MIN(FIND({0,1,2,3,4,5,6,7,8,9},C20&amp;"0123456789"))-1))</f>
        <v/>
      </c>
      <c r="C20" s="149">
        <f ca="1">OFFSET('Kit List'!$A$6, $A20, 0)</f>
        <v>0</v>
      </c>
      <c r="D20" s="149">
        <f ca="1">OFFSET('Kit List'!$B$6, $A20, 0)</f>
        <v>0</v>
      </c>
      <c r="E20" s="149">
        <f ca="1">OFFSET('Kit List'!$C$6, $A20, 0)</f>
        <v>0</v>
      </c>
      <c r="F20" s="149">
        <f ca="1">OFFSET('Kit List'!$D$6, $A20, 0)</f>
        <v>0</v>
      </c>
      <c r="G20" s="149">
        <f ca="1">OFFSET('Kit List'!$E$6, $A20, 0)</f>
        <v>0</v>
      </c>
      <c r="H20" s="149">
        <f ca="1">OFFSET('Kit List'!$F$6, $A20, 0)</f>
        <v>0</v>
      </c>
      <c r="I20" s="149">
        <f ca="1">OFFSET('Kit List'!$G$6, $A20, 0)</f>
        <v>0</v>
      </c>
      <c r="J20" s="149">
        <f ca="1">OFFSET('Kit List'!$H$6, $A20, 0)</f>
        <v>0</v>
      </c>
      <c r="K20" s="149">
        <f ca="1">OFFSET('Kit List'!$I$6, $A20, 0)</f>
        <v>0</v>
      </c>
      <c r="L20" s="149" t="str">
        <f ca="1">IFERROR((VLOOKUP(B20,'Kit Item Reference Designators'!$A:$C,3,0)),"")</f>
        <v/>
      </c>
      <c r="M20" s="149">
        <f ca="1">OFFSET('Kit List'!$K$6, $A20, 0)</f>
        <v>0</v>
      </c>
      <c r="N20" s="149">
        <f ca="1">OFFSET('Kit List'!$L$6, $A20, 0)</f>
        <v>0</v>
      </c>
      <c r="O20" s="149">
        <f t="shared" ca="1" si="0"/>
        <v>0</v>
      </c>
    </row>
    <row r="21" spans="1:15" x14ac:dyDescent="0.35">
      <c r="A21" s="51">
        <v>7</v>
      </c>
      <c r="B21" s="148" t="str">
        <f ca="1">LEFT(C21,(MIN(FIND({0,1,2,3,4,5,6,7,8,9},C21&amp;"0123456789"))-1))</f>
        <v/>
      </c>
      <c r="C21" s="149">
        <f ca="1">OFFSET('Kit List'!$A$6, $A21, 0)</f>
        <v>0</v>
      </c>
      <c r="D21" s="149">
        <f ca="1">OFFSET('Kit List'!$B$6, $A21, 0)</f>
        <v>0</v>
      </c>
      <c r="E21" s="149">
        <f ca="1">OFFSET('Kit List'!$C$6, $A21, 0)</f>
        <v>0</v>
      </c>
      <c r="F21" s="149">
        <f ca="1">OFFSET('Kit List'!$D$6, $A21, 0)</f>
        <v>0</v>
      </c>
      <c r="G21" s="149">
        <f ca="1">OFFSET('Kit List'!$E$6, $A21, 0)</f>
        <v>0</v>
      </c>
      <c r="H21" s="149">
        <f ca="1">OFFSET('Kit List'!$F$6, $A21, 0)</f>
        <v>0</v>
      </c>
      <c r="I21" s="149">
        <f ca="1">OFFSET('Kit List'!$G$6, $A21, 0)</f>
        <v>0</v>
      </c>
      <c r="J21" s="149">
        <f ca="1">OFFSET('Kit List'!$H$6, $A21, 0)</f>
        <v>0</v>
      </c>
      <c r="K21" s="149">
        <f ca="1">OFFSET('Kit List'!$I$6, $A21, 0)</f>
        <v>0</v>
      </c>
      <c r="L21" s="149" t="str">
        <f ca="1">IFERROR((VLOOKUP(B21,'Kit Item Reference Designators'!$A:$C,3,0)),"")</f>
        <v/>
      </c>
      <c r="M21" s="149">
        <f ca="1">OFFSET('Kit List'!$K$6, $A21, 0)</f>
        <v>0</v>
      </c>
      <c r="N21" s="149">
        <f ca="1">OFFSET('Kit List'!$L$6, $A21, 0)</f>
        <v>0</v>
      </c>
      <c r="O21" s="149">
        <f t="shared" ca="1" si="0"/>
        <v>0</v>
      </c>
    </row>
    <row r="22" spans="1:15" x14ac:dyDescent="0.35">
      <c r="A22" s="51">
        <v>8</v>
      </c>
      <c r="B22" s="148" t="str">
        <f ca="1">LEFT(C22,(MIN(FIND({0,1,2,3,4,5,6,7,8,9},C22&amp;"0123456789"))-1))</f>
        <v>LBL</v>
      </c>
      <c r="C22" s="149" t="str">
        <f ca="1">OFFSET('Kit List'!$A$6, $A22, 0)</f>
        <v>LBL1</v>
      </c>
      <c r="D22" s="149">
        <f ca="1">OFFSET('Kit List'!$B$6, $A22, 0)</f>
        <v>1</v>
      </c>
      <c r="E22" s="149" t="str">
        <f ca="1">OFFSET('Kit List'!$C$6, $A22, 0)</f>
        <v xml:space="preserve">Label, Small &amp; Large standard labels (Standard unless specified) </v>
      </c>
      <c r="F22" s="149" t="str">
        <f ca="1">OFFSET('Kit List'!$D$6, $A22, 0)</f>
        <v>SLLF003 / SLLF002</v>
      </c>
      <c r="G22" s="149" t="str">
        <f ca="1">OFFSET('Kit List'!$E$6, $A22, 0)</f>
        <v>Print on Demand</v>
      </c>
      <c r="H22" s="149">
        <f ca="1">OFFSET('Kit List'!$F$6, $A22, 0)</f>
        <v>2</v>
      </c>
      <c r="I22" s="149">
        <f ca="1">OFFSET('Kit List'!$G$6, $A22, 0)</f>
        <v>0</v>
      </c>
      <c r="J22" s="149">
        <f ca="1">OFFSET('Kit List'!$H$6, $A22, 0)</f>
        <v>0</v>
      </c>
      <c r="K22" s="149">
        <f ca="1">OFFSET('Kit List'!$I$6, $A22, 0)</f>
        <v>0</v>
      </c>
      <c r="L22" s="149" t="str">
        <f ca="1">IFERROR((VLOOKUP(B22,'Kit Item Reference Designators'!$A:$C,3,0)),"")</f>
        <v>Label</v>
      </c>
      <c r="M22" s="149" t="str">
        <f ca="1">OFFSET('Kit List'!$K$6, $A22, 0)</f>
        <v>Paper</v>
      </c>
      <c r="N22" s="149">
        <f ca="1">OFFSET('Kit List'!$L$6, $A22, 0)</f>
        <v>0</v>
      </c>
      <c r="O22" s="149">
        <f t="shared" ca="1" si="0"/>
        <v>2</v>
      </c>
    </row>
    <row r="23" spans="1:15" x14ac:dyDescent="0.35">
      <c r="A23" s="51">
        <v>9</v>
      </c>
      <c r="B23" s="148" t="str">
        <f ca="1">LEFT(C23,(MIN(FIND({0,1,2,3,4,5,6,7,8,9},C23&amp;"0123456789"))-1))</f>
        <v>LIT</v>
      </c>
      <c r="C23" s="149" t="str">
        <f ca="1">OFFSET('Kit List'!$A$6, $A23, 0)</f>
        <v>LIT1</v>
      </c>
      <c r="D23" s="149">
        <f ca="1">OFFSET('Kit List'!$B$6, $A23, 0)</f>
        <v>1</v>
      </c>
      <c r="E23" s="149" t="str">
        <f ca="1">OFFSET('Kit List'!$C$6, $A23, 0)</f>
        <v>Literature, EVM Disclaimer Read Me - (Goes in all kits)</v>
      </c>
      <c r="F23" s="149" t="str">
        <f ca="1">OFFSET('Kit List'!$D$6, $A23, 0)</f>
        <v>SZZC019</v>
      </c>
      <c r="G23" s="149" t="str">
        <f ca="1">OFFSET('Kit List'!$E$6, $A23, 0)</f>
        <v>Print on Demand</v>
      </c>
      <c r="H23" s="149">
        <f ca="1">OFFSET('Kit List'!$F$6, $A23, 0)</f>
        <v>7</v>
      </c>
      <c r="I23" s="149">
        <f ca="1">OFFSET('Kit List'!$G$6, $A23, 0)</f>
        <v>0</v>
      </c>
      <c r="J23" s="149">
        <f ca="1">OFFSET('Kit List'!$H$6, $A23, 0)</f>
        <v>0</v>
      </c>
      <c r="K23" s="149">
        <f ca="1">OFFSET('Kit List'!$I$6, $A23, 0)</f>
        <v>0</v>
      </c>
      <c r="L23" s="149" t="str">
        <f ca="1">IFERROR((VLOOKUP(B23,'Kit Item Reference Designators'!$A:$C,3,0)),"")</f>
        <v>Paper/ Cardstock</v>
      </c>
      <c r="M23" s="149" t="str">
        <f ca="1">OFFSET('Kit List'!$K$6, $A23, 0)</f>
        <v>Paper</v>
      </c>
      <c r="N23" s="149">
        <f ca="1">OFFSET('Kit List'!$L$6, $A23, 0)</f>
        <v>0</v>
      </c>
      <c r="O23" s="149">
        <f t="shared" ca="1" si="0"/>
        <v>7</v>
      </c>
    </row>
    <row r="24" spans="1:15" x14ac:dyDescent="0.35">
      <c r="A24" s="51">
        <v>10</v>
      </c>
      <c r="B24" s="148" t="str">
        <f ca="1">LEFT(C24,(MIN(FIND({0,1,2,3,4,5,6,7,8,9},C24&amp;"0123456789"))-1))</f>
        <v>LIT</v>
      </c>
      <c r="C24" s="149" t="str">
        <f ca="1">OFFSET('Kit List'!$A$6, $A24, 0)</f>
        <v>LIT2</v>
      </c>
      <c r="D24" s="149">
        <f ca="1">OFFSET('Kit List'!$B$6, $A24, 0)</f>
        <v>1</v>
      </c>
      <c r="E24" s="149" t="str">
        <f ca="1">OFFSET('Kit List'!$C$6, $A24, 0)</f>
        <v>Literature, High Voltage Read Me - (Goes in all High Voltage kits)</v>
      </c>
      <c r="F24" s="149" t="str">
        <f ca="1">OFFSET('Kit List'!$D$6, $A24, 0)</f>
        <v>SLVT174</v>
      </c>
      <c r="G24" s="149" t="str">
        <f ca="1">OFFSET('Kit List'!$E$6, $A24, 0)</f>
        <v>Print on Demand</v>
      </c>
      <c r="H24" s="149">
        <f ca="1">OFFSET('Kit List'!$F$6, $A24, 0)</f>
        <v>7</v>
      </c>
      <c r="I24" s="149">
        <f ca="1">OFFSET('Kit List'!$G$6, $A24, 0)</f>
        <v>0</v>
      </c>
      <c r="J24" s="149">
        <f ca="1">OFFSET('Kit List'!$H$6, $A24, 0)</f>
        <v>0</v>
      </c>
      <c r="K24" s="149">
        <f ca="1">OFFSET('Kit List'!$I$6, $A24, 0)</f>
        <v>0</v>
      </c>
      <c r="L24" s="149" t="str">
        <f ca="1">IFERROR((VLOOKUP(B24,'Kit Item Reference Designators'!$A:$C,3,0)),"")</f>
        <v>Paper/ Cardstock</v>
      </c>
      <c r="M24" s="149" t="str">
        <f ca="1">OFFSET('Kit List'!$K$6, $A24, 0)</f>
        <v>Paper</v>
      </c>
      <c r="N24" s="149">
        <f ca="1">OFFSET('Kit List'!$L$6, $A24, 0)</f>
        <v>0</v>
      </c>
      <c r="O24" s="149">
        <f t="shared" ca="1" si="0"/>
        <v>7</v>
      </c>
    </row>
    <row r="25" spans="1:15" x14ac:dyDescent="0.35">
      <c r="A25" s="51">
        <v>11</v>
      </c>
      <c r="B25" s="148" t="str">
        <f ca="1">LEFT(C25,(MIN(FIND({0,1,2,3,4,5,6,7,8,9},C25&amp;"0123456789"))-1))</f>
        <v>LIT</v>
      </c>
      <c r="C25" s="149" t="str">
        <f ca="1">OFFSET('Kit List'!$A$6, $A25, 0)</f>
        <v>LIT3</v>
      </c>
      <c r="D25" s="149">
        <f ca="1">OFFSET('Kit List'!$B$6, $A25, 0)</f>
        <v>1</v>
      </c>
      <c r="E25" s="149" t="str">
        <f ca="1">OFFSET('Kit List'!$C$6, $A25, 0)</f>
        <v>Literature, Prototype EVM Disclaimer Read Me - (Goes in all prototype EVM kits)</v>
      </c>
      <c r="F25" s="149" t="str">
        <f ca="1">OFFSET('Kit List'!$D$6, $A25, 0)</f>
        <v>SSZZ034</v>
      </c>
      <c r="G25" s="149" t="str">
        <f ca="1">OFFSET('Kit List'!$E$6, $A25, 0)</f>
        <v>Print on Demand</v>
      </c>
      <c r="H25" s="149">
        <f ca="1">OFFSET('Kit List'!$F$6, $A25, 0)</f>
        <v>14</v>
      </c>
      <c r="I25" s="149">
        <f ca="1">OFFSET('Kit List'!$G$6, $A25, 0)</f>
        <v>0</v>
      </c>
      <c r="J25" s="149">
        <f ca="1">OFFSET('Kit List'!$H$6, $A25, 0)</f>
        <v>0</v>
      </c>
      <c r="K25" s="149">
        <f ca="1">OFFSET('Kit List'!$I$6, $A25, 0)</f>
        <v>0</v>
      </c>
      <c r="L25" s="149" t="str">
        <f ca="1">IFERROR((VLOOKUP(B25,'Kit Item Reference Designators'!$A:$C,3,0)),"")</f>
        <v>Paper/ Cardstock</v>
      </c>
      <c r="M25" s="149" t="str">
        <f ca="1">OFFSET('Kit List'!$K$6, $A25, 0)</f>
        <v>Paper</v>
      </c>
      <c r="N25" s="149">
        <f ca="1">OFFSET('Kit List'!$L$6, $A25, 0)</f>
        <v>0</v>
      </c>
      <c r="O25" s="149">
        <f t="shared" ca="1" si="0"/>
        <v>14</v>
      </c>
    </row>
    <row r="26" spans="1:15" x14ac:dyDescent="0.35">
      <c r="A26" s="51">
        <v>12</v>
      </c>
      <c r="B26" s="148" t="str">
        <f ca="1">LEFT(C26,(MIN(FIND({0,1,2,3,4,5,6,7,8,9},C26&amp;"0123456789"))-1))</f>
        <v/>
      </c>
      <c r="C26" s="149">
        <f ca="1">OFFSET('Kit List'!$A$6, $A26, 0)</f>
        <v>0</v>
      </c>
      <c r="D26" s="149">
        <f ca="1">OFFSET('Kit List'!$B$6, $A26, 0)</f>
        <v>0</v>
      </c>
      <c r="E26" s="149">
        <f ca="1">OFFSET('Kit List'!$C$6, $A26, 0)</f>
        <v>0</v>
      </c>
      <c r="F26" s="149">
        <f ca="1">OFFSET('Kit List'!$D$6, $A26, 0)</f>
        <v>0</v>
      </c>
      <c r="G26" s="149">
        <f ca="1">OFFSET('Kit List'!$E$6, $A26, 0)</f>
        <v>0</v>
      </c>
      <c r="H26" s="149">
        <f ca="1">OFFSET('Kit List'!$F$6, $A26, 0)</f>
        <v>0</v>
      </c>
      <c r="I26" s="149">
        <f ca="1">OFFSET('Kit List'!$G$6, $A26, 0)</f>
        <v>0</v>
      </c>
      <c r="J26" s="149">
        <f ca="1">OFFSET('Kit List'!$H$6, $A26, 0)</f>
        <v>0</v>
      </c>
      <c r="K26" s="149">
        <f ca="1">OFFSET('Kit List'!$I$6, $A26, 0)</f>
        <v>0</v>
      </c>
      <c r="L26" s="149" t="str">
        <f ca="1">IFERROR((VLOOKUP(B26,'Kit Item Reference Designators'!$A:$C,3,0)),"")</f>
        <v/>
      </c>
      <c r="M26" s="149">
        <f ca="1">OFFSET('Kit List'!$K$6, $A26, 0)</f>
        <v>0</v>
      </c>
      <c r="N26" s="149">
        <f ca="1">OFFSET('Kit List'!$L$6, $A26, 0)</f>
        <v>0</v>
      </c>
      <c r="O26" s="149">
        <f t="shared" ca="1" si="0"/>
        <v>0</v>
      </c>
    </row>
    <row r="27" spans="1:15" x14ac:dyDescent="0.35">
      <c r="A27" s="51">
        <v>13</v>
      </c>
      <c r="B27" s="148" t="str">
        <f ca="1">LEFT(C27,(MIN(FIND({0,1,2,3,4,5,6,7,8,9},C27&amp;"0123456789"))-1))</f>
        <v/>
      </c>
      <c r="C27" s="149">
        <f ca="1">OFFSET('Kit List'!$A$6, $A27, 0)</f>
        <v>0</v>
      </c>
      <c r="D27" s="149">
        <f ca="1">OFFSET('Kit List'!$B$6, $A27, 0)</f>
        <v>0</v>
      </c>
      <c r="E27" s="149">
        <f ca="1">OFFSET('Kit List'!$C$6, $A27, 0)</f>
        <v>0</v>
      </c>
      <c r="F27" s="149">
        <f ca="1">OFFSET('Kit List'!$D$6, $A27, 0)</f>
        <v>0</v>
      </c>
      <c r="G27" s="149">
        <f ca="1">OFFSET('Kit List'!$E$6, $A27, 0)</f>
        <v>0</v>
      </c>
      <c r="H27" s="149">
        <f ca="1">OFFSET('Kit List'!$F$6, $A27, 0)</f>
        <v>0</v>
      </c>
      <c r="I27" s="149">
        <f ca="1">OFFSET('Kit List'!$G$6, $A27, 0)</f>
        <v>0</v>
      </c>
      <c r="J27" s="149">
        <f ca="1">OFFSET('Kit List'!$H$6, $A27, 0)</f>
        <v>0</v>
      </c>
      <c r="K27" s="149">
        <f ca="1">OFFSET('Kit List'!$I$6, $A27, 0)</f>
        <v>0</v>
      </c>
      <c r="L27" s="149" t="str">
        <f ca="1">IFERROR((VLOOKUP(B27,'Kit Item Reference Designators'!$A:$C,3,0)),"")</f>
        <v/>
      </c>
      <c r="M27" s="149">
        <f ca="1">OFFSET('Kit List'!$K$6, $A27, 0)</f>
        <v>0</v>
      </c>
      <c r="N27" s="149">
        <f ca="1">OFFSET('Kit List'!$L$6, $A27, 0)</f>
        <v>0</v>
      </c>
      <c r="O27" s="149">
        <f t="shared" ca="1" si="0"/>
        <v>0</v>
      </c>
    </row>
    <row r="28" spans="1:15" x14ac:dyDescent="0.35">
      <c r="A28" s="51">
        <v>14</v>
      </c>
      <c r="B28" s="148" t="str">
        <f ca="1">LEFT(C28,(MIN(FIND({0,1,2,3,4,5,6,7,8,9},C28&amp;"0123456789"))-1))</f>
        <v/>
      </c>
      <c r="C28" s="149">
        <f ca="1">OFFSET('Kit List'!$A$6, $A28, 0)</f>
        <v>0</v>
      </c>
      <c r="D28" s="149">
        <f ca="1">OFFSET('Kit List'!$B$6, $A28, 0)</f>
        <v>0</v>
      </c>
      <c r="E28" s="149">
        <f ca="1">OFFSET('Kit List'!$C$6, $A28, 0)</f>
        <v>0</v>
      </c>
      <c r="F28" s="149">
        <f ca="1">OFFSET('Kit List'!$D$6, $A28, 0)</f>
        <v>0</v>
      </c>
      <c r="G28" s="149">
        <f ca="1">OFFSET('Kit List'!$E$6, $A28, 0)</f>
        <v>0</v>
      </c>
      <c r="H28" s="149">
        <f ca="1">OFFSET('Kit List'!$F$6, $A28, 0)</f>
        <v>0</v>
      </c>
      <c r="I28" s="149">
        <f ca="1">OFFSET('Kit List'!$G$6, $A28, 0)</f>
        <v>0</v>
      </c>
      <c r="J28" s="149">
        <f ca="1">OFFSET('Kit List'!$H$6, $A28, 0)</f>
        <v>0</v>
      </c>
      <c r="K28" s="149">
        <f ca="1">OFFSET('Kit List'!$I$6, $A28, 0)</f>
        <v>0</v>
      </c>
      <c r="L28" s="149" t="str">
        <f ca="1">IFERROR((VLOOKUP(B28,'Kit Item Reference Designators'!$A:$C,3,0)),"")</f>
        <v/>
      </c>
      <c r="M28" s="149">
        <f ca="1">OFFSET('Kit List'!$K$6, $A28, 0)</f>
        <v>0</v>
      </c>
      <c r="N28" s="149">
        <f ca="1">OFFSET('Kit List'!$L$6, $A28, 0)</f>
        <v>0</v>
      </c>
      <c r="O28" s="149">
        <f t="shared" ca="1" si="0"/>
        <v>0</v>
      </c>
    </row>
    <row r="29" spans="1:15" x14ac:dyDescent="0.35">
      <c r="A29" s="51">
        <v>15</v>
      </c>
      <c r="B29" s="148" t="str">
        <f ca="1">LEFT(C29,(MIN(FIND({0,1,2,3,4,5,6,7,8,9},C29&amp;"0123456789"))-1))</f>
        <v/>
      </c>
      <c r="C29" s="149">
        <f ca="1">OFFSET('Kit List'!$A$6, $A29, 0)</f>
        <v>0</v>
      </c>
      <c r="D29" s="149">
        <f ca="1">OFFSET('Kit List'!$B$6, $A29, 0)</f>
        <v>0</v>
      </c>
      <c r="E29" s="149">
        <f ca="1">OFFSET('Kit List'!$C$6, $A29, 0)</f>
        <v>0</v>
      </c>
      <c r="F29" s="149">
        <f ca="1">OFFSET('Kit List'!$D$6, $A29, 0)</f>
        <v>0</v>
      </c>
      <c r="G29" s="149">
        <f ca="1">OFFSET('Kit List'!$E$6, $A29, 0)</f>
        <v>0</v>
      </c>
      <c r="H29" s="149">
        <f ca="1">OFFSET('Kit List'!$F$6, $A29, 0)</f>
        <v>0</v>
      </c>
      <c r="I29" s="149">
        <f ca="1">OFFSET('Kit List'!$G$6, $A29, 0)</f>
        <v>0</v>
      </c>
      <c r="J29" s="149">
        <f ca="1">OFFSET('Kit List'!$H$6, $A29, 0)</f>
        <v>0</v>
      </c>
      <c r="K29" s="149">
        <f ca="1">OFFSET('Kit List'!$I$6, $A29, 0)</f>
        <v>0</v>
      </c>
      <c r="L29" s="149" t="str">
        <f ca="1">IFERROR((VLOOKUP(B29,'Kit Item Reference Designators'!$A:$C,3,0)),"")</f>
        <v/>
      </c>
      <c r="M29" s="149">
        <f ca="1">OFFSET('Kit List'!$K$6, $A29, 0)</f>
        <v>0</v>
      </c>
      <c r="N29" s="149">
        <f ca="1">OFFSET('Kit List'!$L$6, $A29, 0)</f>
        <v>0</v>
      </c>
      <c r="O29" s="149">
        <f t="shared" ca="1" si="0"/>
        <v>0</v>
      </c>
    </row>
    <row r="30" spans="1:15" x14ac:dyDescent="0.35">
      <c r="A30" s="51">
        <v>16</v>
      </c>
      <c r="B30" s="148" t="str">
        <f ca="1">LEFT(C30,(MIN(FIND({0,1,2,3,4,5,6,7,8,9},C30&amp;"0123456789"))-1))</f>
        <v/>
      </c>
      <c r="C30" s="149">
        <f ca="1">OFFSET('Kit List'!$A$6, $A30, 0)</f>
        <v>0</v>
      </c>
      <c r="D30" s="149">
        <f ca="1">OFFSET('Kit List'!$B$6, $A30, 0)</f>
        <v>0</v>
      </c>
      <c r="E30" s="149">
        <f ca="1">OFFSET('Kit List'!$C$6, $A30, 0)</f>
        <v>0</v>
      </c>
      <c r="F30" s="149">
        <f ca="1">OFFSET('Kit List'!$D$6, $A30, 0)</f>
        <v>0</v>
      </c>
      <c r="G30" s="149">
        <f ca="1">OFFSET('Kit List'!$E$6, $A30, 0)</f>
        <v>0</v>
      </c>
      <c r="H30" s="149">
        <f ca="1">OFFSET('Kit List'!$F$6, $A30, 0)</f>
        <v>0</v>
      </c>
      <c r="I30" s="149">
        <f ca="1">OFFSET('Kit List'!$G$6, $A30, 0)</f>
        <v>0</v>
      </c>
      <c r="J30" s="149">
        <f ca="1">OFFSET('Kit List'!$H$6, $A30, 0)</f>
        <v>0</v>
      </c>
      <c r="K30" s="149">
        <f ca="1">OFFSET('Kit List'!$I$6, $A30, 0)</f>
        <v>0</v>
      </c>
      <c r="L30" s="149" t="str">
        <f ca="1">IFERROR((VLOOKUP(B30,'Kit Item Reference Designators'!$A:$C,3,0)),"")</f>
        <v/>
      </c>
      <c r="M30" s="149">
        <f ca="1">OFFSET('Kit List'!$K$6, $A30, 0)</f>
        <v>0</v>
      </c>
      <c r="N30" s="149">
        <f ca="1">OFFSET('Kit List'!$L$6, $A30, 0)</f>
        <v>0</v>
      </c>
      <c r="O30" s="149">
        <f t="shared" ca="1" si="0"/>
        <v>0</v>
      </c>
    </row>
    <row r="31" spans="1:15" x14ac:dyDescent="0.35">
      <c r="A31" s="51">
        <v>17</v>
      </c>
      <c r="B31" s="148" t="str">
        <f ca="1">LEFT(C31,(MIN(FIND({0,1,2,3,4,5,6,7,8,9},C31&amp;"0123456789"))-1))</f>
        <v/>
      </c>
      <c r="C31" s="149">
        <f ca="1">OFFSET('Kit List'!$A$6, $A31, 0)</f>
        <v>0</v>
      </c>
      <c r="D31" s="149">
        <f ca="1">OFFSET('Kit List'!$B$6, $A31, 0)</f>
        <v>0</v>
      </c>
      <c r="E31" s="149">
        <f ca="1">OFFSET('Kit List'!$C$6, $A31, 0)</f>
        <v>0</v>
      </c>
      <c r="F31" s="149">
        <f ca="1">OFFSET('Kit List'!$D$6, $A31, 0)</f>
        <v>0</v>
      </c>
      <c r="G31" s="149">
        <f ca="1">OFFSET('Kit List'!$E$6, $A31, 0)</f>
        <v>0</v>
      </c>
      <c r="H31" s="149">
        <f ca="1">OFFSET('Kit List'!$F$6, $A31, 0)</f>
        <v>0</v>
      </c>
      <c r="I31" s="149">
        <f ca="1">OFFSET('Kit List'!$G$6, $A31, 0)</f>
        <v>0</v>
      </c>
      <c r="J31" s="149">
        <f ca="1">OFFSET('Kit List'!$H$6, $A31, 0)</f>
        <v>0</v>
      </c>
      <c r="K31" s="149">
        <f ca="1">OFFSET('Kit List'!$I$6, $A31, 0)</f>
        <v>0</v>
      </c>
      <c r="L31" s="149" t="str">
        <f ca="1">IFERROR((VLOOKUP(B31,'Kit Item Reference Designators'!$A:$C,3,0)),"")</f>
        <v/>
      </c>
      <c r="M31" s="149">
        <f ca="1">OFFSET('Kit List'!$K$6, $A31, 0)</f>
        <v>0</v>
      </c>
      <c r="N31" s="149">
        <f ca="1">OFFSET('Kit List'!$L$6, $A31, 0)</f>
        <v>0</v>
      </c>
      <c r="O31" s="149">
        <f t="shared" ca="1" si="0"/>
        <v>0</v>
      </c>
    </row>
    <row r="32" spans="1:15" x14ac:dyDescent="0.35">
      <c r="A32" s="51">
        <v>18</v>
      </c>
      <c r="B32" s="148" t="str">
        <f ca="1">LEFT(C32,(MIN(FIND({0,1,2,3,4,5,6,7,8,9},C32&amp;"0123456789"))-1))</f>
        <v/>
      </c>
      <c r="C32" s="149">
        <f ca="1">OFFSET('Kit List'!$A$6, $A32, 0)</f>
        <v>0</v>
      </c>
      <c r="D32" s="149">
        <f ca="1">OFFSET('Kit List'!$B$6, $A32, 0)</f>
        <v>0</v>
      </c>
      <c r="E32" s="149">
        <f ca="1">OFFSET('Kit List'!$C$6, $A32, 0)</f>
        <v>0</v>
      </c>
      <c r="F32" s="149">
        <f ca="1">OFFSET('Kit List'!$D$6, $A32, 0)</f>
        <v>0</v>
      </c>
      <c r="G32" s="149">
        <f ca="1">OFFSET('Kit List'!$E$6, $A32, 0)</f>
        <v>0</v>
      </c>
      <c r="H32" s="149">
        <f ca="1">OFFSET('Kit List'!$F$6, $A32, 0)</f>
        <v>0</v>
      </c>
      <c r="I32" s="149">
        <f ca="1">OFFSET('Kit List'!$G$6, $A32, 0)</f>
        <v>0</v>
      </c>
      <c r="J32" s="149">
        <f ca="1">OFFSET('Kit List'!$H$6, $A32, 0)</f>
        <v>0</v>
      </c>
      <c r="K32" s="149">
        <f ca="1">OFFSET('Kit List'!$I$6, $A32, 0)</f>
        <v>0</v>
      </c>
      <c r="L32" s="149" t="str">
        <f ca="1">IFERROR((VLOOKUP(B32,'Kit Item Reference Designators'!$A:$C,3,0)),"")</f>
        <v/>
      </c>
      <c r="M32" s="149">
        <f ca="1">OFFSET('Kit List'!$K$6, $A32, 0)</f>
        <v>0</v>
      </c>
      <c r="N32" s="149">
        <f ca="1">OFFSET('Kit List'!$L$6, $A32, 0)</f>
        <v>0</v>
      </c>
      <c r="O32" s="149">
        <f t="shared" ca="1" si="0"/>
        <v>0</v>
      </c>
    </row>
    <row r="33" spans="1:15" x14ac:dyDescent="0.35">
      <c r="A33" s="51">
        <v>19</v>
      </c>
      <c r="B33" s="148" t="str">
        <f ca="1">LEFT(C33,(MIN(FIND({0,1,2,3,4,5,6,7,8,9},C33&amp;"0123456789"))-1))</f>
        <v/>
      </c>
      <c r="C33" s="149">
        <f ca="1">OFFSET('Kit List'!$A$6, $A33, 0)</f>
        <v>0</v>
      </c>
      <c r="D33" s="149">
        <f ca="1">OFFSET('Kit List'!$B$6, $A33, 0)</f>
        <v>0</v>
      </c>
      <c r="E33" s="149">
        <f ca="1">OFFSET('Kit List'!$C$6, $A33, 0)</f>
        <v>0</v>
      </c>
      <c r="F33" s="149">
        <f ca="1">OFFSET('Kit List'!$D$6, $A33, 0)</f>
        <v>0</v>
      </c>
      <c r="G33" s="149">
        <f ca="1">OFFSET('Kit List'!$E$6, $A33, 0)</f>
        <v>0</v>
      </c>
      <c r="H33" s="149">
        <f ca="1">OFFSET('Kit List'!$F$6, $A33, 0)</f>
        <v>0</v>
      </c>
      <c r="I33" s="149">
        <f ca="1">OFFSET('Kit List'!$G$6, $A33, 0)</f>
        <v>0</v>
      </c>
      <c r="J33" s="149">
        <f ca="1">OFFSET('Kit List'!$H$6, $A33, 0)</f>
        <v>0</v>
      </c>
      <c r="K33" s="149">
        <f ca="1">OFFSET('Kit List'!$I$6, $A33, 0)</f>
        <v>0</v>
      </c>
      <c r="L33" s="149" t="str">
        <f ca="1">IFERROR((VLOOKUP(B33,'Kit Item Reference Designators'!$A:$C,3,0)),"")</f>
        <v/>
      </c>
      <c r="M33" s="149">
        <f ca="1">OFFSET('Kit List'!$K$6, $A33, 0)</f>
        <v>0</v>
      </c>
      <c r="N33" s="149">
        <f ca="1">OFFSET('Kit List'!$L$6, $A33, 0)</f>
        <v>0</v>
      </c>
      <c r="O33" s="149">
        <f t="shared" ca="1" si="0"/>
        <v>0</v>
      </c>
    </row>
    <row r="34" spans="1:15" x14ac:dyDescent="0.35">
      <c r="A34" s="51">
        <v>20</v>
      </c>
      <c r="B34" s="148" t="str">
        <f ca="1">LEFT(C34,(MIN(FIND({0,1,2,3,4,5,6,7,8,9},C34&amp;"0123456789"))-1))</f>
        <v/>
      </c>
      <c r="C34" s="149">
        <f ca="1">OFFSET('Kit List'!$A$6, $A34, 0)</f>
        <v>0</v>
      </c>
      <c r="D34" s="149">
        <f ca="1">OFFSET('Kit List'!$B$6, $A34, 0)</f>
        <v>0</v>
      </c>
      <c r="E34" s="149">
        <f ca="1">OFFSET('Kit List'!$C$6, $A34, 0)</f>
        <v>0</v>
      </c>
      <c r="F34" s="149">
        <f ca="1">OFFSET('Kit List'!$D$6, $A34, 0)</f>
        <v>0</v>
      </c>
      <c r="G34" s="149">
        <f ca="1">OFFSET('Kit List'!$E$6, $A34, 0)</f>
        <v>0</v>
      </c>
      <c r="H34" s="149">
        <f ca="1">OFFSET('Kit List'!$F$6, $A34, 0)</f>
        <v>0</v>
      </c>
      <c r="I34" s="149">
        <f ca="1">OFFSET('Kit List'!$G$6, $A34, 0)</f>
        <v>0</v>
      </c>
      <c r="J34" s="149">
        <f ca="1">OFFSET('Kit List'!$H$6, $A34, 0)</f>
        <v>0</v>
      </c>
      <c r="K34" s="149">
        <f ca="1">OFFSET('Kit List'!$I$6, $A34, 0)</f>
        <v>0</v>
      </c>
      <c r="L34" s="149" t="str">
        <f ca="1">IFERROR((VLOOKUP(B34,'Kit Item Reference Designators'!$A:$C,3,0)),"")</f>
        <v/>
      </c>
      <c r="M34" s="149">
        <f ca="1">OFFSET('Kit List'!$K$6, $A34, 0)</f>
        <v>0</v>
      </c>
      <c r="N34" s="149">
        <f ca="1">OFFSET('Kit List'!$L$6, $A34, 0)</f>
        <v>0</v>
      </c>
      <c r="O34" s="149">
        <f t="shared" ca="1" si="0"/>
        <v>0</v>
      </c>
    </row>
    <row r="35" spans="1:15" x14ac:dyDescent="0.35">
      <c r="A35" s="51">
        <v>21</v>
      </c>
      <c r="B35" s="148" t="str">
        <f ca="1">LEFT(C35,(MIN(FIND({0,1,2,3,4,5,6,7,8,9},C35&amp;"0123456789"))-1))</f>
        <v/>
      </c>
      <c r="C35" s="149">
        <f ca="1">OFFSET('Kit List'!$A$6, $A35, 0)</f>
        <v>0</v>
      </c>
      <c r="D35" s="149">
        <f ca="1">OFFSET('Kit List'!$B$6, $A35, 0)</f>
        <v>0</v>
      </c>
      <c r="E35" s="149">
        <f ca="1">OFFSET('Kit List'!$C$6, $A35, 0)</f>
        <v>0</v>
      </c>
      <c r="F35" s="149">
        <f ca="1">OFFSET('Kit List'!$D$6, $A35, 0)</f>
        <v>0</v>
      </c>
      <c r="G35" s="149">
        <f ca="1">OFFSET('Kit List'!$E$6, $A35, 0)</f>
        <v>0</v>
      </c>
      <c r="H35" s="149">
        <f ca="1">OFFSET('Kit List'!$F$6, $A35, 0)</f>
        <v>0</v>
      </c>
      <c r="I35" s="149">
        <f ca="1">OFFSET('Kit List'!$G$6, $A35, 0)</f>
        <v>0</v>
      </c>
      <c r="J35" s="149">
        <f ca="1">OFFSET('Kit List'!$H$6, $A35, 0)</f>
        <v>0</v>
      </c>
      <c r="K35" s="149">
        <f ca="1">OFFSET('Kit List'!$I$6, $A35, 0)</f>
        <v>0</v>
      </c>
      <c r="L35" s="149" t="str">
        <f ca="1">IFERROR((VLOOKUP(B35,'Kit Item Reference Designators'!$A:$C,3,0)),"")</f>
        <v/>
      </c>
      <c r="M35" s="149">
        <f ca="1">OFFSET('Kit List'!$K$6, $A35, 0)</f>
        <v>0</v>
      </c>
      <c r="N35" s="149">
        <f ca="1">OFFSET('Kit List'!$L$6, $A35, 0)</f>
        <v>0</v>
      </c>
      <c r="O35" s="149">
        <f t="shared" ca="1" si="0"/>
        <v>0</v>
      </c>
    </row>
    <row r="36" spans="1:15" x14ac:dyDescent="0.35">
      <c r="A36" s="51">
        <v>22</v>
      </c>
      <c r="B36" s="148" t="str">
        <f ca="1">LEFT(C36,(MIN(FIND({0,1,2,3,4,5,6,7,8,9},C36&amp;"0123456789"))-1))</f>
        <v/>
      </c>
      <c r="C36" s="149">
        <f ca="1">OFFSET('Kit List'!$A$6, $A36, 0)</f>
        <v>0</v>
      </c>
      <c r="D36" s="149">
        <f ca="1">OFFSET('Kit List'!$B$6, $A36, 0)</f>
        <v>0</v>
      </c>
      <c r="E36" s="149">
        <f ca="1">OFFSET('Kit List'!$C$6, $A36, 0)</f>
        <v>0</v>
      </c>
      <c r="F36" s="149">
        <f ca="1">OFFSET('Kit List'!$D$6, $A36, 0)</f>
        <v>0</v>
      </c>
      <c r="G36" s="149">
        <f ca="1">OFFSET('Kit List'!$E$6, $A36, 0)</f>
        <v>0</v>
      </c>
      <c r="H36" s="149">
        <f ca="1">OFFSET('Kit List'!$F$6, $A36, 0)</f>
        <v>0</v>
      </c>
      <c r="I36" s="149">
        <f ca="1">OFFSET('Kit List'!$G$6, $A36, 0)</f>
        <v>0</v>
      </c>
      <c r="J36" s="149">
        <f ca="1">OFFSET('Kit List'!$H$6, $A36, 0)</f>
        <v>0</v>
      </c>
      <c r="K36" s="149">
        <f ca="1">OFFSET('Kit List'!$I$6, $A36, 0)</f>
        <v>0</v>
      </c>
      <c r="L36" s="149" t="str">
        <f ca="1">IFERROR((VLOOKUP(B36,'Kit Item Reference Designators'!$A:$C,3,0)),"")</f>
        <v/>
      </c>
      <c r="M36" s="149">
        <f ca="1">OFFSET('Kit List'!$K$6, $A36, 0)</f>
        <v>0</v>
      </c>
      <c r="N36" s="149">
        <f ca="1">OFFSET('Kit List'!$L$6, $A36, 0)</f>
        <v>0</v>
      </c>
      <c r="O36" s="149">
        <f t="shared" ca="1" si="0"/>
        <v>0</v>
      </c>
    </row>
    <row r="37" spans="1:15" x14ac:dyDescent="0.35">
      <c r="A37" s="51">
        <v>23</v>
      </c>
      <c r="B37" s="148" t="str">
        <f ca="1">LEFT(C37,(MIN(FIND({0,1,2,3,4,5,6,7,8,9},C37&amp;"0123456789"))-1))</f>
        <v/>
      </c>
      <c r="C37" s="149">
        <f ca="1">OFFSET('Kit List'!$A$6, $A37, 0)</f>
        <v>0</v>
      </c>
      <c r="D37" s="149">
        <f ca="1">OFFSET('Kit List'!$B$6, $A37, 0)</f>
        <v>0</v>
      </c>
      <c r="E37" s="149">
        <f ca="1">OFFSET('Kit List'!$C$6, $A37, 0)</f>
        <v>0</v>
      </c>
      <c r="F37" s="149">
        <f ca="1">OFFSET('Kit List'!$D$6, $A37, 0)</f>
        <v>0</v>
      </c>
      <c r="G37" s="149">
        <f ca="1">OFFSET('Kit List'!$E$6, $A37, 0)</f>
        <v>0</v>
      </c>
      <c r="H37" s="149">
        <f ca="1">OFFSET('Kit List'!$F$6, $A37, 0)</f>
        <v>0</v>
      </c>
      <c r="I37" s="149">
        <f ca="1">OFFSET('Kit List'!$G$6, $A37, 0)</f>
        <v>0</v>
      </c>
      <c r="J37" s="149">
        <f ca="1">OFFSET('Kit List'!$H$6, $A37, 0)</f>
        <v>0</v>
      </c>
      <c r="K37" s="149">
        <f ca="1">OFFSET('Kit List'!$I$6, $A37, 0)</f>
        <v>0</v>
      </c>
      <c r="L37" s="149" t="str">
        <f ca="1">IFERROR((VLOOKUP(B37,'Kit Item Reference Designators'!$A:$C,3,0)),"")</f>
        <v/>
      </c>
      <c r="M37" s="149">
        <f ca="1">OFFSET('Kit List'!$K$6, $A37, 0)</f>
        <v>0</v>
      </c>
      <c r="N37" s="149">
        <f ca="1">OFFSET('Kit List'!$L$6, $A37, 0)</f>
        <v>0</v>
      </c>
      <c r="O37" s="149">
        <f t="shared" ca="1" si="0"/>
        <v>0</v>
      </c>
    </row>
    <row r="38" spans="1:15" x14ac:dyDescent="0.35">
      <c r="A38" s="51">
        <v>24</v>
      </c>
      <c r="B38" s="148" t="str">
        <f ca="1">LEFT(C38,(MIN(FIND({0,1,2,3,4,5,6,7,8,9},C38&amp;"0123456789"))-1))</f>
        <v/>
      </c>
      <c r="C38" s="149">
        <f ca="1">OFFSET('Kit List'!$A$6, $A38, 0)</f>
        <v>0</v>
      </c>
      <c r="D38" s="149">
        <f ca="1">OFFSET('Kit List'!$B$6, $A38, 0)</f>
        <v>0</v>
      </c>
      <c r="E38" s="149">
        <f ca="1">OFFSET('Kit List'!$C$6, $A38, 0)</f>
        <v>0</v>
      </c>
      <c r="F38" s="149">
        <f ca="1">OFFSET('Kit List'!$D$6, $A38, 0)</f>
        <v>0</v>
      </c>
      <c r="G38" s="149">
        <f ca="1">OFFSET('Kit List'!$E$6, $A38, 0)</f>
        <v>0</v>
      </c>
      <c r="H38" s="149">
        <f ca="1">OFFSET('Kit List'!$F$6, $A38, 0)</f>
        <v>0</v>
      </c>
      <c r="I38" s="149">
        <f ca="1">OFFSET('Kit List'!$G$6, $A38, 0)</f>
        <v>0</v>
      </c>
      <c r="J38" s="149">
        <f ca="1">OFFSET('Kit List'!$H$6, $A38, 0)</f>
        <v>0</v>
      </c>
      <c r="K38" s="149">
        <f ca="1">OFFSET('Kit List'!$I$6, $A38, 0)</f>
        <v>0</v>
      </c>
      <c r="L38" s="149" t="str">
        <f ca="1">IFERROR((VLOOKUP(B38,'Kit Item Reference Designators'!$A:$C,3,0)),"")</f>
        <v/>
      </c>
      <c r="M38" s="149">
        <f ca="1">OFFSET('Kit List'!$K$6, $A38, 0)</f>
        <v>0</v>
      </c>
      <c r="N38" s="149">
        <f ca="1">OFFSET('Kit List'!$L$6, $A38, 0)</f>
        <v>0</v>
      </c>
      <c r="O38" s="149">
        <f t="shared" ca="1" si="0"/>
        <v>0</v>
      </c>
    </row>
    <row r="39" spans="1:15" x14ac:dyDescent="0.35">
      <c r="A39" s="51">
        <v>25</v>
      </c>
      <c r="B39" s="148" t="str">
        <f ca="1">LEFT(C39,(MIN(FIND({0,1,2,3,4,5,6,7,8,9},C39&amp;"0123456789"))-1))</f>
        <v/>
      </c>
      <c r="C39" s="149">
        <f ca="1">OFFSET('Kit List'!$A$6, $A39, 0)</f>
        <v>0</v>
      </c>
      <c r="D39" s="149">
        <f ca="1">OFFSET('Kit List'!$B$6, $A39, 0)</f>
        <v>0</v>
      </c>
      <c r="E39" s="149">
        <f ca="1">OFFSET('Kit List'!$C$6, $A39, 0)</f>
        <v>0</v>
      </c>
      <c r="F39" s="149">
        <f ca="1">OFFSET('Kit List'!$D$6, $A39, 0)</f>
        <v>0</v>
      </c>
      <c r="G39" s="149">
        <f ca="1">OFFSET('Kit List'!$E$6, $A39, 0)</f>
        <v>0</v>
      </c>
      <c r="H39" s="149">
        <f ca="1">OFFSET('Kit List'!$F$6, $A39, 0)</f>
        <v>0</v>
      </c>
      <c r="I39" s="149">
        <f ca="1">OFFSET('Kit List'!$G$6, $A39, 0)</f>
        <v>0</v>
      </c>
      <c r="J39" s="149">
        <f ca="1">OFFSET('Kit List'!$H$6, $A39, 0)</f>
        <v>0</v>
      </c>
      <c r="K39" s="149">
        <f ca="1">OFFSET('Kit List'!$I$6, $A39, 0)</f>
        <v>0</v>
      </c>
      <c r="L39" s="149" t="str">
        <f ca="1">IFERROR((VLOOKUP(B39,'Kit Item Reference Designators'!$A:$C,3,0)),"")</f>
        <v/>
      </c>
      <c r="M39" s="149">
        <f ca="1">OFFSET('Kit List'!$K$6, $A39, 0)</f>
        <v>0</v>
      </c>
      <c r="N39" s="149">
        <f ca="1">OFFSET('Kit List'!$L$6, $A39, 0)</f>
        <v>0</v>
      </c>
      <c r="O39" s="149">
        <f t="shared" ca="1" si="0"/>
        <v>0</v>
      </c>
    </row>
    <row r="40" spans="1:15" ht="15" thickBot="1" x14ac:dyDescent="0.4">
      <c r="A40" s="51">
        <v>26</v>
      </c>
      <c r="B40" s="150" t="str">
        <f ca="1">LEFT(C40,(MIN(FIND({0,1,2,3,4,5,6,7,8,9},C40&amp;"0123456789"))-1))</f>
        <v/>
      </c>
      <c r="C40" s="149">
        <f ca="1">OFFSET('Kit List'!$A$6, $A40, 0)</f>
        <v>0</v>
      </c>
      <c r="D40" s="149">
        <f ca="1">OFFSET('Kit List'!$B$6, $A40, 0)</f>
        <v>0</v>
      </c>
      <c r="E40" s="149">
        <f ca="1">OFFSET('Kit List'!$C$6, $A40, 0)</f>
        <v>0</v>
      </c>
      <c r="F40" s="149">
        <f ca="1">OFFSET('Kit List'!$D$6, $A40, 0)</f>
        <v>0</v>
      </c>
      <c r="G40" s="149">
        <f ca="1">OFFSET('Kit List'!$E$6, $A40, 0)</f>
        <v>0</v>
      </c>
      <c r="H40" s="149">
        <f ca="1">OFFSET('Kit List'!$F$6, $A40, 0)</f>
        <v>0</v>
      </c>
      <c r="I40" s="149">
        <f ca="1">OFFSET('Kit List'!$G$6, $A40, 0)</f>
        <v>0</v>
      </c>
      <c r="J40" s="149">
        <f ca="1">OFFSET('Kit List'!$H$6, $A40, 0)</f>
        <v>0</v>
      </c>
      <c r="K40" s="149">
        <f ca="1">OFFSET('Kit List'!$I$6, $A40, 0)</f>
        <v>0</v>
      </c>
      <c r="L40" s="149" t="str">
        <f ca="1">IFERROR((VLOOKUP(B40,'Kit Item Reference Designators'!$A:$C,3,0)),"")</f>
        <v/>
      </c>
      <c r="M40" s="149">
        <f ca="1">OFFSET('Kit List'!$K$6, $A40, 0)</f>
        <v>0</v>
      </c>
      <c r="N40" s="149">
        <f ca="1">OFFSET('Kit List'!$L$6, $A40, 0)</f>
        <v>0</v>
      </c>
      <c r="O40" s="149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G14" sqref="G14"/>
    </sheetView>
  </sheetViews>
  <sheetFormatPr defaultColWidth="8.81640625" defaultRowHeight="14.5" x14ac:dyDescent="0.35"/>
  <cols>
    <col min="1" max="1" width="24.54296875" style="11" bestFit="1" customWidth="1"/>
    <col min="2" max="2" width="17.1796875" style="11" customWidth="1"/>
    <col min="3" max="3" width="104.453125" style="11" customWidth="1"/>
    <col min="4" max="16384" width="8.81640625" style="11"/>
  </cols>
  <sheetData>
    <row r="1" spans="1:3" x14ac:dyDescent="0.35">
      <c r="A1" s="25" t="s">
        <v>288</v>
      </c>
    </row>
    <row r="3" spans="1:3" x14ac:dyDescent="0.35">
      <c r="A3" s="6" t="s">
        <v>289</v>
      </c>
      <c r="B3" s="6" t="s">
        <v>7</v>
      </c>
      <c r="C3" s="17" t="s">
        <v>290</v>
      </c>
    </row>
    <row r="4" spans="1:3" s="1" customFormat="1" ht="29" x14ac:dyDescent="0.35">
      <c r="A4" s="15" t="s">
        <v>291</v>
      </c>
      <c r="B4" s="76">
        <v>44354</v>
      </c>
      <c r="C4" s="135" t="s">
        <v>313</v>
      </c>
    </row>
    <row r="5" spans="1:3" ht="145" x14ac:dyDescent="0.35">
      <c r="A5" s="15" t="s">
        <v>295</v>
      </c>
      <c r="B5" s="76">
        <v>44965</v>
      </c>
      <c r="C5" s="135" t="s">
        <v>339</v>
      </c>
    </row>
    <row r="6" spans="1:3" ht="33.75" customHeight="1" x14ac:dyDescent="0.35">
      <c r="A6" s="15" t="s">
        <v>342</v>
      </c>
      <c r="B6" s="76">
        <v>45534</v>
      </c>
      <c r="C6" s="135" t="s">
        <v>344</v>
      </c>
    </row>
    <row r="7" spans="1:3" x14ac:dyDescent="0.35">
      <c r="A7" s="15"/>
      <c r="B7" s="76"/>
      <c r="C7" s="14"/>
    </row>
    <row r="8" spans="1:3" x14ac:dyDescent="0.35">
      <c r="A8" s="15"/>
      <c r="B8" s="76"/>
      <c r="C8" s="14"/>
    </row>
    <row r="9" spans="1:3" x14ac:dyDescent="0.35">
      <c r="A9" s="15"/>
      <c r="B9" s="76"/>
      <c r="C9" s="52"/>
    </row>
    <row r="10" spans="1:3" s="1" customFormat="1" x14ac:dyDescent="0.35">
      <c r="A10" s="15"/>
      <c r="B10" s="76"/>
      <c r="C10" s="14"/>
    </row>
    <row r="11" spans="1:3" x14ac:dyDescent="0.35">
      <c r="A11" s="15"/>
      <c r="B11" s="76"/>
      <c r="C11" s="16"/>
    </row>
    <row r="12" spans="1:3" x14ac:dyDescent="0.35">
      <c r="A12" s="3"/>
      <c r="B12" s="77"/>
      <c r="C12" s="13"/>
    </row>
    <row r="13" spans="1:3" x14ac:dyDescent="0.35">
      <c r="A13" s="3"/>
      <c r="B13" s="77"/>
      <c r="C13" s="13"/>
    </row>
    <row r="14" spans="1:3" x14ac:dyDescent="0.35">
      <c r="A14" s="3"/>
      <c r="B14" s="77"/>
      <c r="C14" s="13"/>
    </row>
    <row r="15" spans="1:3" x14ac:dyDescent="0.35">
      <c r="A15" s="3"/>
      <c r="B15" s="77"/>
      <c r="C15" s="13"/>
    </row>
    <row r="16" spans="1:3" x14ac:dyDescent="0.35">
      <c r="A16" s="3"/>
      <c r="B16" s="77"/>
      <c r="C16" s="13"/>
    </row>
    <row r="17" spans="1:3" x14ac:dyDescent="0.35">
      <c r="A17" s="3"/>
      <c r="B17" s="77"/>
      <c r="C17" s="13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1" max="1" width="8.81640625" style="11"/>
    <col min="2" max="2" width="37.6328125" style="11" customWidth="1"/>
    <col min="3" max="3" width="35.6328125" style="51" customWidth="1"/>
    <col min="4" max="16384" width="8.81640625" style="11"/>
  </cols>
  <sheetData>
    <row r="2" spans="2:3" x14ac:dyDescent="0.35">
      <c r="B2" s="1" t="s">
        <v>286</v>
      </c>
      <c r="C2" s="50" t="s">
        <v>287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63281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1"/>
      <c r="B1" s="11"/>
      <c r="C1" s="26" t="s">
        <v>112</v>
      </c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x14ac:dyDescent="0.35">
      <c r="A2" s="11"/>
      <c r="B2" s="11" t="s">
        <v>8</v>
      </c>
      <c r="C2" s="27" t="s">
        <v>199</v>
      </c>
      <c r="D2" s="11" t="s">
        <v>7</v>
      </c>
      <c r="E2" s="28" t="s">
        <v>130</v>
      </c>
      <c r="F2" s="11"/>
      <c r="G2" s="11"/>
      <c r="H2" s="11"/>
      <c r="I2" s="11"/>
      <c r="J2" s="11"/>
      <c r="K2" s="11"/>
      <c r="L2" s="11"/>
      <c r="M2" s="11"/>
    </row>
    <row r="3" spans="1:13" x14ac:dyDescent="0.35">
      <c r="A3" s="12"/>
      <c r="B3" s="11" t="s">
        <v>104</v>
      </c>
      <c r="C3" s="29" t="s">
        <v>130</v>
      </c>
      <c r="D3" s="12" t="s">
        <v>12</v>
      </c>
      <c r="E3" s="19" t="s">
        <v>101</v>
      </c>
      <c r="F3" s="12"/>
      <c r="G3" s="12"/>
      <c r="H3" s="12"/>
      <c r="I3" s="12"/>
      <c r="J3" s="12"/>
      <c r="K3" s="12"/>
      <c r="L3" s="12"/>
      <c r="M3" s="12"/>
    </row>
    <row r="4" spans="1:13" ht="15.5" x14ac:dyDescent="0.35">
      <c r="A4" s="11"/>
      <c r="B4" s="18" t="s">
        <v>5</v>
      </c>
      <c r="C4" s="30" t="s">
        <v>130</v>
      </c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15" thickBot="1" x14ac:dyDescent="0.4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26.5" thickBot="1" x14ac:dyDescent="0.4">
      <c r="A6" s="20" t="s">
        <v>4</v>
      </c>
      <c r="B6" s="21" t="s">
        <v>3</v>
      </c>
      <c r="C6" s="22" t="s">
        <v>0</v>
      </c>
      <c r="D6" s="22" t="s">
        <v>10</v>
      </c>
      <c r="E6" s="21" t="s">
        <v>2</v>
      </c>
      <c r="F6" s="22" t="s">
        <v>108</v>
      </c>
      <c r="G6" s="22" t="s">
        <v>109</v>
      </c>
      <c r="H6" s="22" t="s">
        <v>110</v>
      </c>
      <c r="I6" s="22" t="s">
        <v>111</v>
      </c>
      <c r="J6" s="21" t="s">
        <v>100</v>
      </c>
      <c r="K6" s="24" t="s">
        <v>107</v>
      </c>
      <c r="L6" s="23" t="s">
        <v>9</v>
      </c>
      <c r="M6" s="11"/>
    </row>
    <row r="7" spans="1:13" ht="15" thickBot="1" x14ac:dyDescent="0.4">
      <c r="A7" s="31" t="s">
        <v>200</v>
      </c>
      <c r="B7" s="32">
        <v>1</v>
      </c>
      <c r="C7" s="33" t="s">
        <v>201</v>
      </c>
      <c r="D7" s="33" t="s">
        <v>202</v>
      </c>
      <c r="E7" s="33" t="s">
        <v>1</v>
      </c>
      <c r="F7" s="34">
        <v>105</v>
      </c>
      <c r="G7" s="34">
        <v>19.05</v>
      </c>
      <c r="H7" s="34">
        <v>13.67</v>
      </c>
      <c r="I7" s="34">
        <v>2.54</v>
      </c>
      <c r="J7" s="33" t="s">
        <v>188</v>
      </c>
      <c r="K7" s="33" t="s">
        <v>203</v>
      </c>
      <c r="L7" s="35"/>
      <c r="M7" s="27"/>
    </row>
    <row r="8" spans="1:13" x14ac:dyDescent="0.35">
      <c r="A8" s="36" t="s">
        <v>200</v>
      </c>
      <c r="B8" s="37">
        <v>1</v>
      </c>
      <c r="C8" s="36" t="s">
        <v>204</v>
      </c>
      <c r="D8" s="36" t="s">
        <v>205</v>
      </c>
      <c r="E8" s="36" t="s">
        <v>1</v>
      </c>
      <c r="F8" s="2"/>
      <c r="G8" s="2"/>
      <c r="H8" s="2"/>
      <c r="I8" s="2"/>
      <c r="J8" s="2" t="s">
        <v>188</v>
      </c>
      <c r="K8" s="2" t="s">
        <v>203</v>
      </c>
      <c r="L8" s="2"/>
      <c r="M8" s="27"/>
    </row>
    <row r="9" spans="1:13" x14ac:dyDescent="0.35">
      <c r="A9" s="36" t="s">
        <v>200</v>
      </c>
      <c r="B9" s="37">
        <v>1</v>
      </c>
      <c r="C9" s="36" t="s">
        <v>206</v>
      </c>
      <c r="D9" s="38" t="s">
        <v>207</v>
      </c>
      <c r="E9" s="36" t="s">
        <v>1</v>
      </c>
      <c r="F9" s="2"/>
      <c r="G9" s="2"/>
      <c r="H9" s="2"/>
      <c r="I9" s="2"/>
      <c r="J9" s="2" t="s">
        <v>188</v>
      </c>
      <c r="K9" s="2" t="s">
        <v>203</v>
      </c>
      <c r="L9" s="2"/>
      <c r="M9" s="27"/>
    </row>
    <row r="10" spans="1:13" x14ac:dyDescent="0.35">
      <c r="A10" s="36"/>
      <c r="B10" s="37"/>
      <c r="C10" s="36"/>
      <c r="D10" s="38"/>
      <c r="E10" s="36"/>
      <c r="F10" s="2"/>
      <c r="G10" s="2"/>
      <c r="H10" s="2"/>
      <c r="I10" s="2"/>
      <c r="J10" s="2"/>
      <c r="K10" s="2"/>
      <c r="L10" s="2"/>
      <c r="M10" s="27"/>
    </row>
    <row r="11" spans="1:13" x14ac:dyDescent="0.35">
      <c r="A11" s="36"/>
      <c r="B11" s="37"/>
      <c r="C11" s="36"/>
      <c r="D11" s="38"/>
      <c r="E11" s="36"/>
      <c r="F11" s="2"/>
      <c r="G11" s="2"/>
      <c r="H11" s="2"/>
      <c r="I11" s="2"/>
      <c r="J11" s="2"/>
      <c r="K11" s="2"/>
      <c r="L11" s="2"/>
      <c r="M11" s="27"/>
    </row>
    <row r="12" spans="1:13" x14ac:dyDescent="0.35">
      <c r="A12" s="36"/>
      <c r="B12" s="37"/>
      <c r="C12" s="2"/>
      <c r="D12" s="5"/>
      <c r="E12" s="2"/>
      <c r="F12" s="39"/>
      <c r="G12" s="2"/>
      <c r="H12" s="2"/>
      <c r="I12" s="2"/>
      <c r="J12" s="2"/>
      <c r="K12" s="2"/>
      <c r="L12" s="2"/>
      <c r="M12" s="27"/>
    </row>
    <row r="13" spans="1:13" x14ac:dyDescent="0.35">
      <c r="A13" s="36"/>
      <c r="B13" s="37"/>
      <c r="C13" s="40"/>
      <c r="D13" s="36"/>
      <c r="E13" s="36"/>
      <c r="F13" s="2"/>
      <c r="G13" s="2"/>
      <c r="H13" s="2"/>
      <c r="I13" s="2"/>
      <c r="J13" s="2"/>
      <c r="K13" s="2"/>
      <c r="L13" s="2"/>
      <c r="M13" s="27"/>
    </row>
    <row r="14" spans="1:13" x14ac:dyDescent="0.35">
      <c r="A14" s="36"/>
      <c r="B14" s="37"/>
      <c r="C14" s="36"/>
      <c r="D14" s="36"/>
      <c r="E14" s="36"/>
      <c r="F14" s="2"/>
      <c r="G14" s="2"/>
      <c r="H14" s="2"/>
      <c r="I14" s="2"/>
      <c r="J14" s="2"/>
      <c r="K14" s="2"/>
      <c r="L14" s="2"/>
      <c r="M14" s="27"/>
    </row>
    <row r="15" spans="1:13" x14ac:dyDescent="0.35">
      <c r="A15" s="36"/>
      <c r="B15" s="37"/>
      <c r="C15" s="36"/>
      <c r="D15" s="36"/>
      <c r="E15" s="36"/>
      <c r="F15" s="2"/>
      <c r="G15" s="2"/>
      <c r="H15" s="2"/>
      <c r="I15" s="2"/>
      <c r="J15" s="2"/>
      <c r="K15" s="2"/>
      <c r="L15" s="2"/>
      <c r="M15" s="27"/>
    </row>
    <row r="16" spans="1:13" x14ac:dyDescent="0.35">
      <c r="A16" s="36"/>
      <c r="B16" s="37"/>
      <c r="C16" s="36"/>
      <c r="D16" s="36"/>
      <c r="E16" s="36"/>
      <c r="F16" s="2"/>
      <c r="G16" s="2"/>
      <c r="H16" s="2"/>
      <c r="I16" s="2"/>
      <c r="J16" s="2"/>
      <c r="K16" s="2"/>
      <c r="L16" s="2"/>
      <c r="M16" s="27"/>
    </row>
    <row r="17" spans="1:13" x14ac:dyDescent="0.35">
      <c r="A17" s="41"/>
      <c r="B17" s="41"/>
      <c r="C17" s="41"/>
      <c r="D17" s="41"/>
      <c r="E17" s="41"/>
      <c r="F17" s="27"/>
      <c r="G17" s="27"/>
      <c r="H17" s="27"/>
      <c r="I17" s="27"/>
      <c r="J17" s="27"/>
      <c r="K17" s="27"/>
      <c r="L17" s="27"/>
      <c r="M17" s="27"/>
    </row>
    <row r="18" spans="1:13" x14ac:dyDescent="0.35">
      <c r="A18" s="41"/>
      <c r="B18" s="41"/>
      <c r="C18" s="41"/>
      <c r="D18" s="41"/>
      <c r="E18" s="41"/>
      <c r="F18" s="27"/>
      <c r="G18" s="27"/>
      <c r="H18" s="27"/>
      <c r="I18" s="27"/>
      <c r="J18" s="27"/>
      <c r="K18" s="27"/>
      <c r="L18" s="27"/>
      <c r="M18" s="27"/>
    </row>
    <row r="19" spans="1:13" x14ac:dyDescent="0.35">
      <c r="A19" s="27"/>
      <c r="B19" s="41"/>
      <c r="C19" s="41"/>
      <c r="D19" s="41"/>
      <c r="E19" s="27"/>
      <c r="F19" s="27"/>
      <c r="G19" s="27"/>
      <c r="H19" s="27"/>
      <c r="I19" s="27"/>
      <c r="J19" s="27"/>
      <c r="K19" s="27"/>
      <c r="L19" s="27"/>
      <c r="M19" s="27"/>
    </row>
    <row r="20" spans="1:13" ht="21" x14ac:dyDescent="0.5">
      <c r="A20" s="27"/>
      <c r="B20" s="41"/>
      <c r="C20" s="42"/>
      <c r="D20" s="41"/>
      <c r="E20" s="27"/>
      <c r="F20" s="27"/>
      <c r="G20" s="27"/>
      <c r="H20" s="27"/>
      <c r="I20" s="27"/>
      <c r="J20" s="27"/>
      <c r="K20" s="27"/>
      <c r="L20" s="27"/>
      <c r="M20" s="27"/>
    </row>
    <row r="21" spans="1:13" x14ac:dyDescent="0.35">
      <c r="A21" s="27"/>
      <c r="B21" s="41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1:13" x14ac:dyDescent="0.35">
      <c r="A22" s="27"/>
      <c r="B22" s="41"/>
      <c r="C22" s="4"/>
      <c r="D22" s="4"/>
      <c r="E22" s="4"/>
      <c r="F22" s="27"/>
      <c r="G22" s="27"/>
      <c r="H22" s="27"/>
      <c r="I22" s="27"/>
      <c r="J22" s="27"/>
      <c r="K22" s="27"/>
      <c r="L22" s="27"/>
      <c r="M22" s="2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2024-08-30T05:00:00+00:00</Rev_x0020_Date>
    <REv_x0020__x0023_ xmlns="5e33aeb8-8661-47bd-abbe-71602b88121d">H</REv_x0020__x0023_>
    <Group xmlns="5e33aeb8-8661-47bd-abbe-71602b88121d">Hardware Tools</Group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acfdf082-8e82-40c1-bd5b-8b4663c52e9f"/>
    <ds:schemaRef ds:uri="5e33aeb8-8661-47bd-abbe-71602b88121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DF7DC8-6A8A-480E-BA74-63F972576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Roth, Geoff</cp:lastModifiedBy>
  <cp:lastPrinted>2018-01-22T17:50:34Z</cp:lastPrinted>
  <dcterms:created xsi:type="dcterms:W3CDTF">2014-10-28T20:48:20Z</dcterms:created>
  <dcterms:modified xsi:type="dcterms:W3CDTF">2025-03-29T12:42:40Z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